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y Drive\AI\AI_МИСЛАБ\AI_обучение\2026\ИЮНЬ_26\БЛОК_2\2-10_Деньги\NEW\"/>
    </mc:Choice>
  </mc:AlternateContent>
  <xr:revisionPtr revIDLastSave="0" documentId="13_ncr:1_{F6BA6334-B857-42D7-8037-149D44C501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омпт_AI" sheetId="1" r:id="rId1"/>
    <sheet name="Инструкция" sheetId="2" r:id="rId2"/>
    <sheet name="Настройки_2026" sheetId="3" r:id="rId3"/>
    <sheet name="Категории" sheetId="4" r:id="rId4"/>
    <sheet name="Операции" sheetId="5" r:id="rId5"/>
    <sheet name="Дашборд" sheetId="6" r:id="rId6"/>
    <sheet name="План_лимита" sheetId="7" r:id="rId7"/>
    <sheet name="Законы_2026" sheetId="8" r:id="rId8"/>
  </sheets>
  <definedNames>
    <definedName name="_xlnm._FilterDatabase" localSheetId="7" hidden="1">Законы_2026!$A$4:$E$25</definedName>
    <definedName name="_xlnm._FilterDatabase" localSheetId="3" hidden="1">Категории!$A$2:$F$27</definedName>
    <definedName name="_xlnm._FilterDatabase" localSheetId="4" hidden="1">Операции!$A$4:$N$504</definedName>
    <definedName name="CategoryList">Категории!$A$3:$A$27</definedName>
    <definedName name="PaymentList">Настройки_2026!$I$2:$I$9</definedName>
    <definedName name="SourceList">Настройки_2026!$J$2:$J$8</definedName>
    <definedName name="TypeList">Настройки_2026!$H$2:$H$5</definedName>
  </definedName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7" l="1"/>
  <c r="I16" i="7"/>
  <c r="I15" i="7"/>
  <c r="I14" i="7"/>
  <c r="I13" i="7"/>
  <c r="I12" i="7"/>
  <c r="I11" i="7"/>
  <c r="I10" i="7"/>
  <c r="I9" i="7"/>
  <c r="I8" i="7"/>
  <c r="I7" i="7"/>
  <c r="I6" i="7"/>
  <c r="I5" i="7"/>
  <c r="B67" i="6"/>
  <c r="B61" i="6"/>
  <c r="B48" i="6"/>
  <c r="B46" i="6"/>
  <c r="E43" i="6"/>
  <c r="E41" i="6"/>
  <c r="G23" i="6"/>
  <c r="D23" i="6"/>
  <c r="C23" i="6"/>
  <c r="B23" i="6"/>
  <c r="B16" i="7" s="1"/>
  <c r="D16" i="7" s="1"/>
  <c r="G22" i="6"/>
  <c r="D22" i="6"/>
  <c r="C22" i="6"/>
  <c r="B22" i="6"/>
  <c r="G21" i="6"/>
  <c r="D21" i="6"/>
  <c r="C21" i="6"/>
  <c r="B21" i="6"/>
  <c r="G20" i="6"/>
  <c r="G19" i="6"/>
  <c r="G18" i="6"/>
  <c r="G17" i="6"/>
  <c r="G16" i="6"/>
  <c r="G15" i="6"/>
  <c r="G14" i="6"/>
  <c r="G13" i="6"/>
  <c r="G12" i="6"/>
  <c r="N504" i="5"/>
  <c r="M504" i="5"/>
  <c r="L504" i="5"/>
  <c r="K504" i="5"/>
  <c r="N503" i="5"/>
  <c r="M503" i="5"/>
  <c r="L503" i="5"/>
  <c r="K503" i="5"/>
  <c r="N502" i="5"/>
  <c r="M502" i="5"/>
  <c r="L502" i="5"/>
  <c r="K502" i="5"/>
  <c r="N501" i="5"/>
  <c r="M501" i="5"/>
  <c r="L501" i="5"/>
  <c r="K501" i="5"/>
  <c r="N500" i="5"/>
  <c r="M500" i="5"/>
  <c r="L500" i="5"/>
  <c r="K500" i="5"/>
  <c r="N499" i="5"/>
  <c r="M499" i="5"/>
  <c r="L499" i="5"/>
  <c r="K499" i="5"/>
  <c r="N498" i="5"/>
  <c r="M498" i="5"/>
  <c r="L498" i="5"/>
  <c r="K498" i="5"/>
  <c r="N497" i="5"/>
  <c r="M497" i="5"/>
  <c r="L497" i="5"/>
  <c r="K497" i="5"/>
  <c r="N496" i="5"/>
  <c r="M496" i="5"/>
  <c r="L496" i="5"/>
  <c r="K496" i="5"/>
  <c r="N495" i="5"/>
  <c r="M495" i="5"/>
  <c r="L495" i="5"/>
  <c r="K495" i="5"/>
  <c r="N494" i="5"/>
  <c r="M494" i="5"/>
  <c r="L494" i="5"/>
  <c r="K494" i="5"/>
  <c r="N493" i="5"/>
  <c r="M493" i="5"/>
  <c r="L493" i="5"/>
  <c r="K493" i="5"/>
  <c r="N492" i="5"/>
  <c r="M492" i="5"/>
  <c r="L492" i="5"/>
  <c r="K492" i="5"/>
  <c r="N491" i="5"/>
  <c r="M491" i="5"/>
  <c r="L491" i="5"/>
  <c r="K491" i="5"/>
  <c r="N490" i="5"/>
  <c r="M490" i="5"/>
  <c r="L490" i="5"/>
  <c r="K490" i="5"/>
  <c r="N489" i="5"/>
  <c r="M489" i="5"/>
  <c r="L489" i="5"/>
  <c r="K489" i="5"/>
  <c r="N488" i="5"/>
  <c r="M488" i="5"/>
  <c r="L488" i="5"/>
  <c r="K488" i="5"/>
  <c r="N487" i="5"/>
  <c r="M487" i="5"/>
  <c r="L487" i="5"/>
  <c r="K487" i="5"/>
  <c r="N486" i="5"/>
  <c r="M486" i="5"/>
  <c r="L486" i="5"/>
  <c r="K486" i="5"/>
  <c r="N485" i="5"/>
  <c r="M485" i="5"/>
  <c r="L485" i="5"/>
  <c r="K485" i="5"/>
  <c r="N484" i="5"/>
  <c r="M484" i="5"/>
  <c r="L484" i="5"/>
  <c r="K484" i="5"/>
  <c r="N483" i="5"/>
  <c r="M483" i="5"/>
  <c r="L483" i="5"/>
  <c r="K483" i="5"/>
  <c r="N482" i="5"/>
  <c r="M482" i="5"/>
  <c r="L482" i="5"/>
  <c r="K482" i="5"/>
  <c r="N481" i="5"/>
  <c r="M481" i="5"/>
  <c r="L481" i="5"/>
  <c r="K481" i="5"/>
  <c r="N480" i="5"/>
  <c r="M480" i="5"/>
  <c r="L480" i="5"/>
  <c r="K480" i="5"/>
  <c r="N479" i="5"/>
  <c r="M479" i="5"/>
  <c r="L479" i="5"/>
  <c r="K479" i="5"/>
  <c r="N478" i="5"/>
  <c r="M478" i="5"/>
  <c r="L478" i="5"/>
  <c r="K478" i="5"/>
  <c r="N477" i="5"/>
  <c r="M477" i="5"/>
  <c r="L477" i="5"/>
  <c r="K477" i="5"/>
  <c r="N476" i="5"/>
  <c r="M476" i="5"/>
  <c r="L476" i="5"/>
  <c r="K476" i="5"/>
  <c r="N475" i="5"/>
  <c r="M475" i="5"/>
  <c r="L475" i="5"/>
  <c r="K475" i="5"/>
  <c r="N474" i="5"/>
  <c r="M474" i="5"/>
  <c r="L474" i="5"/>
  <c r="K474" i="5"/>
  <c r="N473" i="5"/>
  <c r="M473" i="5"/>
  <c r="L473" i="5"/>
  <c r="K473" i="5"/>
  <c r="N472" i="5"/>
  <c r="M472" i="5"/>
  <c r="L472" i="5"/>
  <c r="K472" i="5"/>
  <c r="N471" i="5"/>
  <c r="M471" i="5"/>
  <c r="L471" i="5"/>
  <c r="K471" i="5"/>
  <c r="N470" i="5"/>
  <c r="M470" i="5"/>
  <c r="L470" i="5"/>
  <c r="K470" i="5"/>
  <c r="N469" i="5"/>
  <c r="M469" i="5"/>
  <c r="L469" i="5"/>
  <c r="K469" i="5"/>
  <c r="N468" i="5"/>
  <c r="M468" i="5"/>
  <c r="L468" i="5"/>
  <c r="K468" i="5"/>
  <c r="N467" i="5"/>
  <c r="M467" i="5"/>
  <c r="L467" i="5"/>
  <c r="K467" i="5"/>
  <c r="N466" i="5"/>
  <c r="M466" i="5"/>
  <c r="L466" i="5"/>
  <c r="K466" i="5"/>
  <c r="N465" i="5"/>
  <c r="M465" i="5"/>
  <c r="L465" i="5"/>
  <c r="K465" i="5"/>
  <c r="N464" i="5"/>
  <c r="M464" i="5"/>
  <c r="L464" i="5"/>
  <c r="K464" i="5"/>
  <c r="N463" i="5"/>
  <c r="M463" i="5"/>
  <c r="L463" i="5"/>
  <c r="K463" i="5"/>
  <c r="N462" i="5"/>
  <c r="M462" i="5"/>
  <c r="L462" i="5"/>
  <c r="K462" i="5"/>
  <c r="N461" i="5"/>
  <c r="M461" i="5"/>
  <c r="L461" i="5"/>
  <c r="K461" i="5"/>
  <c r="N460" i="5"/>
  <c r="M460" i="5"/>
  <c r="L460" i="5"/>
  <c r="K460" i="5"/>
  <c r="N459" i="5"/>
  <c r="M459" i="5"/>
  <c r="L459" i="5"/>
  <c r="K459" i="5"/>
  <c r="N458" i="5"/>
  <c r="M458" i="5"/>
  <c r="L458" i="5"/>
  <c r="K458" i="5"/>
  <c r="N457" i="5"/>
  <c r="M457" i="5"/>
  <c r="L457" i="5"/>
  <c r="K457" i="5"/>
  <c r="N456" i="5"/>
  <c r="M456" i="5"/>
  <c r="L456" i="5"/>
  <c r="K456" i="5"/>
  <c r="N455" i="5"/>
  <c r="M455" i="5"/>
  <c r="L455" i="5"/>
  <c r="K455" i="5"/>
  <c r="N454" i="5"/>
  <c r="M454" i="5"/>
  <c r="L454" i="5"/>
  <c r="K454" i="5"/>
  <c r="N453" i="5"/>
  <c r="M453" i="5"/>
  <c r="L453" i="5"/>
  <c r="K453" i="5"/>
  <c r="N452" i="5"/>
  <c r="M452" i="5"/>
  <c r="L452" i="5"/>
  <c r="K452" i="5"/>
  <c r="N451" i="5"/>
  <c r="M451" i="5"/>
  <c r="L451" i="5"/>
  <c r="K451" i="5"/>
  <c r="N450" i="5"/>
  <c r="M450" i="5"/>
  <c r="L450" i="5"/>
  <c r="K450" i="5"/>
  <c r="N449" i="5"/>
  <c r="M449" i="5"/>
  <c r="L449" i="5"/>
  <c r="K449" i="5"/>
  <c r="N448" i="5"/>
  <c r="M448" i="5"/>
  <c r="L448" i="5"/>
  <c r="K448" i="5"/>
  <c r="N447" i="5"/>
  <c r="M447" i="5"/>
  <c r="L447" i="5"/>
  <c r="K447" i="5"/>
  <c r="N446" i="5"/>
  <c r="M446" i="5"/>
  <c r="L446" i="5"/>
  <c r="K446" i="5"/>
  <c r="N445" i="5"/>
  <c r="M445" i="5"/>
  <c r="L445" i="5"/>
  <c r="K445" i="5"/>
  <c r="N444" i="5"/>
  <c r="M444" i="5"/>
  <c r="L444" i="5"/>
  <c r="K444" i="5"/>
  <c r="N443" i="5"/>
  <c r="M443" i="5"/>
  <c r="L443" i="5"/>
  <c r="K443" i="5"/>
  <c r="N442" i="5"/>
  <c r="M442" i="5"/>
  <c r="L442" i="5"/>
  <c r="K442" i="5"/>
  <c r="N441" i="5"/>
  <c r="M441" i="5"/>
  <c r="L441" i="5"/>
  <c r="K441" i="5"/>
  <c r="N440" i="5"/>
  <c r="M440" i="5"/>
  <c r="L440" i="5"/>
  <c r="K440" i="5"/>
  <c r="N439" i="5"/>
  <c r="M439" i="5"/>
  <c r="L439" i="5"/>
  <c r="K439" i="5"/>
  <c r="N438" i="5"/>
  <c r="M438" i="5"/>
  <c r="L438" i="5"/>
  <c r="K438" i="5"/>
  <c r="N437" i="5"/>
  <c r="M437" i="5"/>
  <c r="L437" i="5"/>
  <c r="K437" i="5"/>
  <c r="N436" i="5"/>
  <c r="M436" i="5"/>
  <c r="L436" i="5"/>
  <c r="K436" i="5"/>
  <c r="N435" i="5"/>
  <c r="M435" i="5"/>
  <c r="L435" i="5"/>
  <c r="K435" i="5"/>
  <c r="N434" i="5"/>
  <c r="M434" i="5"/>
  <c r="L434" i="5"/>
  <c r="K434" i="5"/>
  <c r="N433" i="5"/>
  <c r="M433" i="5"/>
  <c r="L433" i="5"/>
  <c r="K433" i="5"/>
  <c r="N432" i="5"/>
  <c r="M432" i="5"/>
  <c r="L432" i="5"/>
  <c r="K432" i="5"/>
  <c r="N431" i="5"/>
  <c r="M431" i="5"/>
  <c r="L431" i="5"/>
  <c r="K431" i="5"/>
  <c r="N430" i="5"/>
  <c r="M430" i="5"/>
  <c r="L430" i="5"/>
  <c r="K430" i="5"/>
  <c r="N429" i="5"/>
  <c r="M429" i="5"/>
  <c r="L429" i="5"/>
  <c r="K429" i="5"/>
  <c r="N428" i="5"/>
  <c r="M428" i="5"/>
  <c r="L428" i="5"/>
  <c r="K428" i="5"/>
  <c r="N427" i="5"/>
  <c r="M427" i="5"/>
  <c r="L427" i="5"/>
  <c r="K427" i="5"/>
  <c r="N426" i="5"/>
  <c r="M426" i="5"/>
  <c r="L426" i="5"/>
  <c r="K426" i="5"/>
  <c r="N425" i="5"/>
  <c r="M425" i="5"/>
  <c r="L425" i="5"/>
  <c r="K425" i="5"/>
  <c r="N424" i="5"/>
  <c r="M424" i="5"/>
  <c r="L424" i="5"/>
  <c r="K424" i="5"/>
  <c r="N423" i="5"/>
  <c r="M423" i="5"/>
  <c r="L423" i="5"/>
  <c r="K423" i="5"/>
  <c r="N422" i="5"/>
  <c r="M422" i="5"/>
  <c r="L422" i="5"/>
  <c r="K422" i="5"/>
  <c r="N421" i="5"/>
  <c r="M421" i="5"/>
  <c r="L421" i="5"/>
  <c r="K421" i="5"/>
  <c r="N420" i="5"/>
  <c r="M420" i="5"/>
  <c r="L420" i="5"/>
  <c r="K420" i="5"/>
  <c r="N419" i="5"/>
  <c r="M419" i="5"/>
  <c r="L419" i="5"/>
  <c r="K419" i="5"/>
  <c r="N418" i="5"/>
  <c r="M418" i="5"/>
  <c r="L418" i="5"/>
  <c r="K418" i="5"/>
  <c r="N417" i="5"/>
  <c r="M417" i="5"/>
  <c r="L417" i="5"/>
  <c r="K417" i="5"/>
  <c r="N416" i="5"/>
  <c r="M416" i="5"/>
  <c r="L416" i="5"/>
  <c r="K416" i="5"/>
  <c r="N415" i="5"/>
  <c r="M415" i="5"/>
  <c r="L415" i="5"/>
  <c r="K415" i="5"/>
  <c r="N414" i="5"/>
  <c r="M414" i="5"/>
  <c r="L414" i="5"/>
  <c r="K414" i="5"/>
  <c r="N413" i="5"/>
  <c r="M413" i="5"/>
  <c r="L413" i="5"/>
  <c r="K413" i="5"/>
  <c r="N412" i="5"/>
  <c r="M412" i="5"/>
  <c r="L412" i="5"/>
  <c r="K412" i="5"/>
  <c r="N411" i="5"/>
  <c r="M411" i="5"/>
  <c r="L411" i="5"/>
  <c r="K411" i="5"/>
  <c r="N410" i="5"/>
  <c r="M410" i="5"/>
  <c r="L410" i="5"/>
  <c r="K410" i="5"/>
  <c r="N409" i="5"/>
  <c r="M409" i="5"/>
  <c r="L409" i="5"/>
  <c r="K409" i="5"/>
  <c r="N408" i="5"/>
  <c r="M408" i="5"/>
  <c r="L408" i="5"/>
  <c r="K408" i="5"/>
  <c r="N407" i="5"/>
  <c r="M407" i="5"/>
  <c r="L407" i="5"/>
  <c r="K407" i="5"/>
  <c r="N406" i="5"/>
  <c r="M406" i="5"/>
  <c r="L406" i="5"/>
  <c r="K406" i="5"/>
  <c r="N405" i="5"/>
  <c r="M405" i="5"/>
  <c r="L405" i="5"/>
  <c r="K405" i="5"/>
  <c r="N404" i="5"/>
  <c r="M404" i="5"/>
  <c r="L404" i="5"/>
  <c r="K404" i="5"/>
  <c r="N403" i="5"/>
  <c r="M403" i="5"/>
  <c r="L403" i="5"/>
  <c r="K403" i="5"/>
  <c r="N402" i="5"/>
  <c r="M402" i="5"/>
  <c r="L402" i="5"/>
  <c r="K402" i="5"/>
  <c r="N401" i="5"/>
  <c r="M401" i="5"/>
  <c r="L401" i="5"/>
  <c r="K401" i="5"/>
  <c r="N400" i="5"/>
  <c r="M400" i="5"/>
  <c r="L400" i="5"/>
  <c r="K400" i="5"/>
  <c r="N399" i="5"/>
  <c r="M399" i="5"/>
  <c r="L399" i="5"/>
  <c r="K399" i="5"/>
  <c r="N398" i="5"/>
  <c r="M398" i="5"/>
  <c r="L398" i="5"/>
  <c r="K398" i="5"/>
  <c r="N397" i="5"/>
  <c r="M397" i="5"/>
  <c r="L397" i="5"/>
  <c r="K397" i="5"/>
  <c r="N396" i="5"/>
  <c r="M396" i="5"/>
  <c r="L396" i="5"/>
  <c r="K396" i="5"/>
  <c r="N395" i="5"/>
  <c r="M395" i="5"/>
  <c r="L395" i="5"/>
  <c r="K395" i="5"/>
  <c r="N394" i="5"/>
  <c r="M394" i="5"/>
  <c r="L394" i="5"/>
  <c r="K394" i="5"/>
  <c r="N393" i="5"/>
  <c r="M393" i="5"/>
  <c r="L393" i="5"/>
  <c r="K393" i="5"/>
  <c r="N392" i="5"/>
  <c r="M392" i="5"/>
  <c r="L392" i="5"/>
  <c r="K392" i="5"/>
  <c r="N391" i="5"/>
  <c r="M391" i="5"/>
  <c r="L391" i="5"/>
  <c r="K391" i="5"/>
  <c r="N390" i="5"/>
  <c r="M390" i="5"/>
  <c r="L390" i="5"/>
  <c r="K390" i="5"/>
  <c r="N389" i="5"/>
  <c r="M389" i="5"/>
  <c r="L389" i="5"/>
  <c r="K389" i="5"/>
  <c r="N388" i="5"/>
  <c r="M388" i="5"/>
  <c r="L388" i="5"/>
  <c r="K388" i="5"/>
  <c r="N387" i="5"/>
  <c r="M387" i="5"/>
  <c r="L387" i="5"/>
  <c r="K387" i="5"/>
  <c r="N386" i="5"/>
  <c r="M386" i="5"/>
  <c r="L386" i="5"/>
  <c r="K386" i="5"/>
  <c r="N385" i="5"/>
  <c r="M385" i="5"/>
  <c r="L385" i="5"/>
  <c r="K385" i="5"/>
  <c r="N384" i="5"/>
  <c r="M384" i="5"/>
  <c r="L384" i="5"/>
  <c r="K384" i="5"/>
  <c r="N383" i="5"/>
  <c r="M383" i="5"/>
  <c r="L383" i="5"/>
  <c r="K383" i="5"/>
  <c r="N382" i="5"/>
  <c r="M382" i="5"/>
  <c r="L382" i="5"/>
  <c r="K382" i="5"/>
  <c r="N381" i="5"/>
  <c r="M381" i="5"/>
  <c r="L381" i="5"/>
  <c r="K381" i="5"/>
  <c r="N380" i="5"/>
  <c r="M380" i="5"/>
  <c r="L380" i="5"/>
  <c r="K380" i="5"/>
  <c r="N379" i="5"/>
  <c r="M379" i="5"/>
  <c r="L379" i="5"/>
  <c r="K379" i="5"/>
  <c r="N378" i="5"/>
  <c r="M378" i="5"/>
  <c r="L378" i="5"/>
  <c r="K378" i="5"/>
  <c r="N377" i="5"/>
  <c r="M377" i="5"/>
  <c r="L377" i="5"/>
  <c r="K377" i="5"/>
  <c r="N376" i="5"/>
  <c r="M376" i="5"/>
  <c r="L376" i="5"/>
  <c r="K376" i="5"/>
  <c r="N375" i="5"/>
  <c r="M375" i="5"/>
  <c r="L375" i="5"/>
  <c r="K375" i="5"/>
  <c r="N374" i="5"/>
  <c r="M374" i="5"/>
  <c r="L374" i="5"/>
  <c r="K374" i="5"/>
  <c r="N373" i="5"/>
  <c r="M373" i="5"/>
  <c r="L373" i="5"/>
  <c r="K373" i="5"/>
  <c r="N372" i="5"/>
  <c r="M372" i="5"/>
  <c r="L372" i="5"/>
  <c r="K372" i="5"/>
  <c r="N371" i="5"/>
  <c r="M371" i="5"/>
  <c r="L371" i="5"/>
  <c r="K371" i="5"/>
  <c r="N370" i="5"/>
  <c r="M370" i="5"/>
  <c r="L370" i="5"/>
  <c r="K370" i="5"/>
  <c r="N369" i="5"/>
  <c r="M369" i="5"/>
  <c r="L369" i="5"/>
  <c r="K369" i="5"/>
  <c r="N368" i="5"/>
  <c r="M368" i="5"/>
  <c r="L368" i="5"/>
  <c r="K368" i="5"/>
  <c r="N367" i="5"/>
  <c r="M367" i="5"/>
  <c r="L367" i="5"/>
  <c r="K367" i="5"/>
  <c r="N366" i="5"/>
  <c r="M366" i="5"/>
  <c r="L366" i="5"/>
  <c r="K366" i="5"/>
  <c r="N365" i="5"/>
  <c r="M365" i="5"/>
  <c r="L365" i="5"/>
  <c r="K365" i="5"/>
  <c r="N364" i="5"/>
  <c r="M364" i="5"/>
  <c r="L364" i="5"/>
  <c r="K364" i="5"/>
  <c r="N363" i="5"/>
  <c r="M363" i="5"/>
  <c r="L363" i="5"/>
  <c r="K363" i="5"/>
  <c r="N362" i="5"/>
  <c r="M362" i="5"/>
  <c r="L362" i="5"/>
  <c r="K362" i="5"/>
  <c r="N361" i="5"/>
  <c r="M361" i="5"/>
  <c r="L361" i="5"/>
  <c r="K361" i="5"/>
  <c r="N360" i="5"/>
  <c r="M360" i="5"/>
  <c r="L360" i="5"/>
  <c r="K360" i="5"/>
  <c r="N359" i="5"/>
  <c r="M359" i="5"/>
  <c r="L359" i="5"/>
  <c r="K359" i="5"/>
  <c r="N358" i="5"/>
  <c r="M358" i="5"/>
  <c r="L358" i="5"/>
  <c r="K358" i="5"/>
  <c r="N357" i="5"/>
  <c r="M357" i="5"/>
  <c r="L357" i="5"/>
  <c r="K357" i="5"/>
  <c r="N356" i="5"/>
  <c r="M356" i="5"/>
  <c r="L356" i="5"/>
  <c r="K356" i="5"/>
  <c r="N355" i="5"/>
  <c r="M355" i="5"/>
  <c r="L355" i="5"/>
  <c r="K355" i="5"/>
  <c r="N354" i="5"/>
  <c r="M354" i="5"/>
  <c r="L354" i="5"/>
  <c r="K354" i="5"/>
  <c r="N353" i="5"/>
  <c r="M353" i="5"/>
  <c r="L353" i="5"/>
  <c r="K353" i="5"/>
  <c r="N352" i="5"/>
  <c r="M352" i="5"/>
  <c r="L352" i="5"/>
  <c r="K352" i="5"/>
  <c r="N351" i="5"/>
  <c r="M351" i="5"/>
  <c r="L351" i="5"/>
  <c r="K351" i="5"/>
  <c r="N350" i="5"/>
  <c r="M350" i="5"/>
  <c r="L350" i="5"/>
  <c r="K350" i="5"/>
  <c r="N349" i="5"/>
  <c r="M349" i="5"/>
  <c r="L349" i="5"/>
  <c r="K349" i="5"/>
  <c r="N348" i="5"/>
  <c r="M348" i="5"/>
  <c r="L348" i="5"/>
  <c r="K348" i="5"/>
  <c r="N347" i="5"/>
  <c r="M347" i="5"/>
  <c r="L347" i="5"/>
  <c r="K347" i="5"/>
  <c r="N346" i="5"/>
  <c r="M346" i="5"/>
  <c r="L346" i="5"/>
  <c r="K346" i="5"/>
  <c r="N345" i="5"/>
  <c r="M345" i="5"/>
  <c r="L345" i="5"/>
  <c r="K345" i="5"/>
  <c r="N344" i="5"/>
  <c r="M344" i="5"/>
  <c r="L344" i="5"/>
  <c r="K344" i="5"/>
  <c r="N343" i="5"/>
  <c r="M343" i="5"/>
  <c r="L343" i="5"/>
  <c r="K343" i="5"/>
  <c r="N342" i="5"/>
  <c r="M342" i="5"/>
  <c r="L342" i="5"/>
  <c r="K342" i="5"/>
  <c r="N341" i="5"/>
  <c r="M341" i="5"/>
  <c r="L341" i="5"/>
  <c r="K341" i="5"/>
  <c r="N340" i="5"/>
  <c r="M340" i="5"/>
  <c r="L340" i="5"/>
  <c r="K340" i="5"/>
  <c r="N339" i="5"/>
  <c r="M339" i="5"/>
  <c r="L339" i="5"/>
  <c r="K339" i="5"/>
  <c r="N338" i="5"/>
  <c r="M338" i="5"/>
  <c r="L338" i="5"/>
  <c r="K338" i="5"/>
  <c r="N337" i="5"/>
  <c r="M337" i="5"/>
  <c r="L337" i="5"/>
  <c r="K337" i="5"/>
  <c r="N336" i="5"/>
  <c r="M336" i="5"/>
  <c r="L336" i="5"/>
  <c r="K336" i="5"/>
  <c r="N335" i="5"/>
  <c r="M335" i="5"/>
  <c r="L335" i="5"/>
  <c r="K335" i="5"/>
  <c r="N334" i="5"/>
  <c r="M334" i="5"/>
  <c r="L334" i="5"/>
  <c r="K334" i="5"/>
  <c r="N333" i="5"/>
  <c r="M333" i="5"/>
  <c r="L333" i="5"/>
  <c r="K333" i="5"/>
  <c r="N332" i="5"/>
  <c r="M332" i="5"/>
  <c r="L332" i="5"/>
  <c r="K332" i="5"/>
  <c r="N331" i="5"/>
  <c r="M331" i="5"/>
  <c r="L331" i="5"/>
  <c r="K331" i="5"/>
  <c r="N330" i="5"/>
  <c r="M330" i="5"/>
  <c r="L330" i="5"/>
  <c r="K330" i="5"/>
  <c r="N329" i="5"/>
  <c r="M329" i="5"/>
  <c r="L329" i="5"/>
  <c r="K329" i="5"/>
  <c r="N328" i="5"/>
  <c r="M328" i="5"/>
  <c r="L328" i="5"/>
  <c r="K328" i="5"/>
  <c r="N327" i="5"/>
  <c r="M327" i="5"/>
  <c r="L327" i="5"/>
  <c r="K327" i="5"/>
  <c r="N326" i="5"/>
  <c r="M326" i="5"/>
  <c r="L326" i="5"/>
  <c r="K326" i="5"/>
  <c r="N325" i="5"/>
  <c r="M325" i="5"/>
  <c r="L325" i="5"/>
  <c r="K325" i="5"/>
  <c r="N324" i="5"/>
  <c r="M324" i="5"/>
  <c r="L324" i="5"/>
  <c r="K324" i="5"/>
  <c r="N323" i="5"/>
  <c r="M323" i="5"/>
  <c r="L323" i="5"/>
  <c r="K323" i="5"/>
  <c r="N322" i="5"/>
  <c r="M322" i="5"/>
  <c r="L322" i="5"/>
  <c r="K322" i="5"/>
  <c r="N321" i="5"/>
  <c r="M321" i="5"/>
  <c r="L321" i="5"/>
  <c r="K321" i="5"/>
  <c r="N320" i="5"/>
  <c r="M320" i="5"/>
  <c r="L320" i="5"/>
  <c r="K320" i="5"/>
  <c r="N319" i="5"/>
  <c r="M319" i="5"/>
  <c r="L319" i="5"/>
  <c r="K319" i="5"/>
  <c r="N318" i="5"/>
  <c r="M318" i="5"/>
  <c r="L318" i="5"/>
  <c r="K318" i="5"/>
  <c r="N317" i="5"/>
  <c r="M317" i="5"/>
  <c r="L317" i="5"/>
  <c r="K317" i="5"/>
  <c r="N316" i="5"/>
  <c r="M316" i="5"/>
  <c r="L316" i="5"/>
  <c r="K316" i="5"/>
  <c r="N315" i="5"/>
  <c r="M315" i="5"/>
  <c r="L315" i="5"/>
  <c r="K315" i="5"/>
  <c r="N314" i="5"/>
  <c r="M314" i="5"/>
  <c r="L314" i="5"/>
  <c r="K314" i="5"/>
  <c r="N313" i="5"/>
  <c r="M313" i="5"/>
  <c r="L313" i="5"/>
  <c r="K313" i="5"/>
  <c r="N312" i="5"/>
  <c r="M312" i="5"/>
  <c r="L312" i="5"/>
  <c r="K312" i="5"/>
  <c r="N311" i="5"/>
  <c r="M311" i="5"/>
  <c r="L311" i="5"/>
  <c r="K311" i="5"/>
  <c r="N310" i="5"/>
  <c r="M310" i="5"/>
  <c r="L310" i="5"/>
  <c r="K310" i="5"/>
  <c r="N309" i="5"/>
  <c r="M309" i="5"/>
  <c r="L309" i="5"/>
  <c r="K309" i="5"/>
  <c r="N308" i="5"/>
  <c r="M308" i="5"/>
  <c r="L308" i="5"/>
  <c r="K308" i="5"/>
  <c r="N307" i="5"/>
  <c r="M307" i="5"/>
  <c r="L307" i="5"/>
  <c r="K307" i="5"/>
  <c r="N306" i="5"/>
  <c r="M306" i="5"/>
  <c r="L306" i="5"/>
  <c r="K306" i="5"/>
  <c r="N305" i="5"/>
  <c r="M305" i="5"/>
  <c r="L305" i="5"/>
  <c r="K305" i="5"/>
  <c r="N304" i="5"/>
  <c r="M304" i="5"/>
  <c r="L304" i="5"/>
  <c r="K304" i="5"/>
  <c r="N303" i="5"/>
  <c r="M303" i="5"/>
  <c r="L303" i="5"/>
  <c r="K303" i="5"/>
  <c r="N302" i="5"/>
  <c r="M302" i="5"/>
  <c r="L302" i="5"/>
  <c r="K302" i="5"/>
  <c r="N301" i="5"/>
  <c r="M301" i="5"/>
  <c r="L301" i="5"/>
  <c r="K301" i="5"/>
  <c r="N300" i="5"/>
  <c r="M300" i="5"/>
  <c r="L300" i="5"/>
  <c r="K300" i="5"/>
  <c r="N299" i="5"/>
  <c r="M299" i="5"/>
  <c r="L299" i="5"/>
  <c r="K299" i="5"/>
  <c r="N298" i="5"/>
  <c r="M298" i="5"/>
  <c r="L298" i="5"/>
  <c r="K298" i="5"/>
  <c r="N297" i="5"/>
  <c r="M297" i="5"/>
  <c r="L297" i="5"/>
  <c r="K297" i="5"/>
  <c r="N296" i="5"/>
  <c r="M296" i="5"/>
  <c r="L296" i="5"/>
  <c r="K296" i="5"/>
  <c r="N295" i="5"/>
  <c r="M295" i="5"/>
  <c r="L295" i="5"/>
  <c r="K295" i="5"/>
  <c r="N294" i="5"/>
  <c r="M294" i="5"/>
  <c r="L294" i="5"/>
  <c r="K294" i="5"/>
  <c r="N293" i="5"/>
  <c r="M293" i="5"/>
  <c r="L293" i="5"/>
  <c r="K293" i="5"/>
  <c r="N292" i="5"/>
  <c r="M292" i="5"/>
  <c r="L292" i="5"/>
  <c r="K292" i="5"/>
  <c r="N291" i="5"/>
  <c r="M291" i="5"/>
  <c r="L291" i="5"/>
  <c r="K291" i="5"/>
  <c r="N290" i="5"/>
  <c r="M290" i="5"/>
  <c r="L290" i="5"/>
  <c r="K290" i="5"/>
  <c r="N289" i="5"/>
  <c r="M289" i="5"/>
  <c r="L289" i="5"/>
  <c r="K289" i="5"/>
  <c r="N288" i="5"/>
  <c r="M288" i="5"/>
  <c r="L288" i="5"/>
  <c r="K288" i="5"/>
  <c r="N287" i="5"/>
  <c r="M287" i="5"/>
  <c r="L287" i="5"/>
  <c r="K287" i="5"/>
  <c r="N286" i="5"/>
  <c r="M286" i="5"/>
  <c r="L286" i="5"/>
  <c r="K286" i="5"/>
  <c r="N285" i="5"/>
  <c r="M285" i="5"/>
  <c r="L285" i="5"/>
  <c r="K285" i="5"/>
  <c r="N284" i="5"/>
  <c r="M284" i="5"/>
  <c r="L284" i="5"/>
  <c r="K284" i="5"/>
  <c r="N283" i="5"/>
  <c r="M283" i="5"/>
  <c r="L283" i="5"/>
  <c r="K283" i="5"/>
  <c r="N282" i="5"/>
  <c r="M282" i="5"/>
  <c r="L282" i="5"/>
  <c r="K282" i="5"/>
  <c r="N281" i="5"/>
  <c r="M281" i="5"/>
  <c r="L281" i="5"/>
  <c r="K281" i="5"/>
  <c r="N280" i="5"/>
  <c r="M280" i="5"/>
  <c r="L280" i="5"/>
  <c r="K280" i="5"/>
  <c r="N279" i="5"/>
  <c r="M279" i="5"/>
  <c r="L279" i="5"/>
  <c r="K279" i="5"/>
  <c r="N278" i="5"/>
  <c r="M278" i="5"/>
  <c r="L278" i="5"/>
  <c r="K278" i="5"/>
  <c r="N277" i="5"/>
  <c r="M277" i="5"/>
  <c r="L277" i="5"/>
  <c r="K277" i="5"/>
  <c r="N276" i="5"/>
  <c r="M276" i="5"/>
  <c r="L276" i="5"/>
  <c r="K276" i="5"/>
  <c r="N275" i="5"/>
  <c r="M275" i="5"/>
  <c r="L275" i="5"/>
  <c r="K275" i="5"/>
  <c r="N274" i="5"/>
  <c r="M274" i="5"/>
  <c r="L274" i="5"/>
  <c r="K274" i="5"/>
  <c r="N273" i="5"/>
  <c r="M273" i="5"/>
  <c r="L273" i="5"/>
  <c r="K273" i="5"/>
  <c r="N272" i="5"/>
  <c r="M272" i="5"/>
  <c r="L272" i="5"/>
  <c r="K272" i="5"/>
  <c r="N271" i="5"/>
  <c r="M271" i="5"/>
  <c r="L271" i="5"/>
  <c r="K271" i="5"/>
  <c r="N270" i="5"/>
  <c r="M270" i="5"/>
  <c r="L270" i="5"/>
  <c r="K270" i="5"/>
  <c r="N269" i="5"/>
  <c r="M269" i="5"/>
  <c r="L269" i="5"/>
  <c r="K269" i="5"/>
  <c r="N268" i="5"/>
  <c r="M268" i="5"/>
  <c r="L268" i="5"/>
  <c r="K268" i="5"/>
  <c r="N267" i="5"/>
  <c r="M267" i="5"/>
  <c r="L267" i="5"/>
  <c r="K267" i="5"/>
  <c r="N266" i="5"/>
  <c r="M266" i="5"/>
  <c r="L266" i="5"/>
  <c r="K266" i="5"/>
  <c r="N265" i="5"/>
  <c r="M265" i="5"/>
  <c r="L265" i="5"/>
  <c r="K265" i="5"/>
  <c r="N264" i="5"/>
  <c r="M264" i="5"/>
  <c r="L264" i="5"/>
  <c r="K264" i="5"/>
  <c r="N263" i="5"/>
  <c r="M263" i="5"/>
  <c r="L263" i="5"/>
  <c r="K263" i="5"/>
  <c r="N262" i="5"/>
  <c r="M262" i="5"/>
  <c r="L262" i="5"/>
  <c r="K262" i="5"/>
  <c r="N261" i="5"/>
  <c r="M261" i="5"/>
  <c r="L261" i="5"/>
  <c r="K261" i="5"/>
  <c r="N260" i="5"/>
  <c r="M260" i="5"/>
  <c r="L260" i="5"/>
  <c r="K260" i="5"/>
  <c r="N259" i="5"/>
  <c r="M259" i="5"/>
  <c r="L259" i="5"/>
  <c r="K259" i="5"/>
  <c r="N258" i="5"/>
  <c r="M258" i="5"/>
  <c r="L258" i="5"/>
  <c r="K258" i="5"/>
  <c r="N257" i="5"/>
  <c r="M257" i="5"/>
  <c r="L257" i="5"/>
  <c r="K257" i="5"/>
  <c r="N256" i="5"/>
  <c r="M256" i="5"/>
  <c r="L256" i="5"/>
  <c r="K256" i="5"/>
  <c r="N255" i="5"/>
  <c r="M255" i="5"/>
  <c r="L255" i="5"/>
  <c r="K255" i="5"/>
  <c r="N254" i="5"/>
  <c r="M254" i="5"/>
  <c r="L254" i="5"/>
  <c r="K254" i="5"/>
  <c r="N253" i="5"/>
  <c r="M253" i="5"/>
  <c r="L253" i="5"/>
  <c r="K253" i="5"/>
  <c r="N252" i="5"/>
  <c r="M252" i="5"/>
  <c r="L252" i="5"/>
  <c r="K252" i="5"/>
  <c r="N251" i="5"/>
  <c r="M251" i="5"/>
  <c r="L251" i="5"/>
  <c r="K251" i="5"/>
  <c r="N250" i="5"/>
  <c r="M250" i="5"/>
  <c r="L250" i="5"/>
  <c r="K250" i="5"/>
  <c r="N249" i="5"/>
  <c r="M249" i="5"/>
  <c r="L249" i="5"/>
  <c r="K249" i="5"/>
  <c r="N248" i="5"/>
  <c r="M248" i="5"/>
  <c r="L248" i="5"/>
  <c r="K248" i="5"/>
  <c r="N247" i="5"/>
  <c r="M247" i="5"/>
  <c r="L247" i="5"/>
  <c r="K247" i="5"/>
  <c r="N246" i="5"/>
  <c r="M246" i="5"/>
  <c r="L246" i="5"/>
  <c r="K246" i="5"/>
  <c r="N245" i="5"/>
  <c r="M245" i="5"/>
  <c r="L245" i="5"/>
  <c r="K245" i="5"/>
  <c r="N244" i="5"/>
  <c r="M244" i="5"/>
  <c r="L244" i="5"/>
  <c r="K244" i="5"/>
  <c r="N243" i="5"/>
  <c r="M243" i="5"/>
  <c r="L243" i="5"/>
  <c r="K243" i="5"/>
  <c r="N242" i="5"/>
  <c r="M242" i="5"/>
  <c r="L242" i="5"/>
  <c r="K242" i="5"/>
  <c r="N241" i="5"/>
  <c r="M241" i="5"/>
  <c r="L241" i="5"/>
  <c r="K241" i="5"/>
  <c r="N240" i="5"/>
  <c r="M240" i="5"/>
  <c r="L240" i="5"/>
  <c r="K240" i="5"/>
  <c r="N239" i="5"/>
  <c r="M239" i="5"/>
  <c r="L239" i="5"/>
  <c r="K239" i="5"/>
  <c r="N238" i="5"/>
  <c r="M238" i="5"/>
  <c r="L238" i="5"/>
  <c r="K238" i="5"/>
  <c r="N237" i="5"/>
  <c r="M237" i="5"/>
  <c r="L237" i="5"/>
  <c r="K237" i="5"/>
  <c r="N236" i="5"/>
  <c r="M236" i="5"/>
  <c r="L236" i="5"/>
  <c r="K236" i="5"/>
  <c r="N235" i="5"/>
  <c r="M235" i="5"/>
  <c r="L235" i="5"/>
  <c r="K235" i="5"/>
  <c r="N234" i="5"/>
  <c r="M234" i="5"/>
  <c r="L234" i="5"/>
  <c r="K234" i="5"/>
  <c r="N233" i="5"/>
  <c r="M233" i="5"/>
  <c r="L233" i="5"/>
  <c r="K233" i="5"/>
  <c r="N232" i="5"/>
  <c r="M232" i="5"/>
  <c r="L232" i="5"/>
  <c r="K232" i="5"/>
  <c r="N231" i="5"/>
  <c r="M231" i="5"/>
  <c r="L231" i="5"/>
  <c r="K231" i="5"/>
  <c r="N230" i="5"/>
  <c r="M230" i="5"/>
  <c r="L230" i="5"/>
  <c r="K230" i="5"/>
  <c r="N229" i="5"/>
  <c r="M229" i="5"/>
  <c r="L229" i="5"/>
  <c r="K229" i="5"/>
  <c r="N228" i="5"/>
  <c r="M228" i="5"/>
  <c r="L228" i="5"/>
  <c r="K228" i="5"/>
  <c r="N227" i="5"/>
  <c r="M227" i="5"/>
  <c r="L227" i="5"/>
  <c r="K227" i="5"/>
  <c r="N226" i="5"/>
  <c r="M226" i="5"/>
  <c r="L226" i="5"/>
  <c r="K226" i="5"/>
  <c r="N225" i="5"/>
  <c r="M225" i="5"/>
  <c r="L225" i="5"/>
  <c r="K225" i="5"/>
  <c r="N224" i="5"/>
  <c r="M224" i="5"/>
  <c r="L224" i="5"/>
  <c r="K224" i="5"/>
  <c r="N223" i="5"/>
  <c r="M223" i="5"/>
  <c r="L223" i="5"/>
  <c r="K223" i="5"/>
  <c r="N222" i="5"/>
  <c r="M222" i="5"/>
  <c r="L222" i="5"/>
  <c r="K222" i="5"/>
  <c r="N221" i="5"/>
  <c r="M221" i="5"/>
  <c r="L221" i="5"/>
  <c r="K221" i="5"/>
  <c r="N220" i="5"/>
  <c r="M220" i="5"/>
  <c r="L220" i="5"/>
  <c r="K220" i="5"/>
  <c r="N219" i="5"/>
  <c r="M219" i="5"/>
  <c r="L219" i="5"/>
  <c r="K219" i="5"/>
  <c r="N218" i="5"/>
  <c r="M218" i="5"/>
  <c r="L218" i="5"/>
  <c r="K218" i="5"/>
  <c r="N217" i="5"/>
  <c r="M217" i="5"/>
  <c r="L217" i="5"/>
  <c r="K217" i="5"/>
  <c r="N216" i="5"/>
  <c r="M216" i="5"/>
  <c r="L216" i="5"/>
  <c r="K216" i="5"/>
  <c r="N215" i="5"/>
  <c r="M215" i="5"/>
  <c r="L215" i="5"/>
  <c r="K215" i="5"/>
  <c r="N214" i="5"/>
  <c r="M214" i="5"/>
  <c r="L214" i="5"/>
  <c r="K214" i="5"/>
  <c r="N213" i="5"/>
  <c r="M213" i="5"/>
  <c r="L213" i="5"/>
  <c r="K213" i="5"/>
  <c r="N212" i="5"/>
  <c r="M212" i="5"/>
  <c r="L212" i="5"/>
  <c r="K212" i="5"/>
  <c r="N211" i="5"/>
  <c r="M211" i="5"/>
  <c r="L211" i="5"/>
  <c r="K211" i="5"/>
  <c r="N210" i="5"/>
  <c r="M210" i="5"/>
  <c r="L210" i="5"/>
  <c r="K210" i="5"/>
  <c r="N209" i="5"/>
  <c r="M209" i="5"/>
  <c r="L209" i="5"/>
  <c r="K209" i="5"/>
  <c r="N208" i="5"/>
  <c r="M208" i="5"/>
  <c r="L208" i="5"/>
  <c r="K208" i="5"/>
  <c r="N207" i="5"/>
  <c r="M207" i="5"/>
  <c r="L207" i="5"/>
  <c r="K207" i="5"/>
  <c r="N206" i="5"/>
  <c r="M206" i="5"/>
  <c r="L206" i="5"/>
  <c r="K206" i="5"/>
  <c r="N205" i="5"/>
  <c r="M205" i="5"/>
  <c r="L205" i="5"/>
  <c r="K205" i="5"/>
  <c r="N204" i="5"/>
  <c r="M204" i="5"/>
  <c r="L204" i="5"/>
  <c r="K204" i="5"/>
  <c r="N203" i="5"/>
  <c r="M203" i="5"/>
  <c r="L203" i="5"/>
  <c r="K203" i="5"/>
  <c r="N202" i="5"/>
  <c r="M202" i="5"/>
  <c r="L202" i="5"/>
  <c r="K202" i="5"/>
  <c r="N201" i="5"/>
  <c r="M201" i="5"/>
  <c r="L201" i="5"/>
  <c r="K201" i="5"/>
  <c r="N200" i="5"/>
  <c r="M200" i="5"/>
  <c r="L200" i="5"/>
  <c r="K200" i="5"/>
  <c r="N199" i="5"/>
  <c r="M199" i="5"/>
  <c r="L199" i="5"/>
  <c r="K199" i="5"/>
  <c r="N198" i="5"/>
  <c r="M198" i="5"/>
  <c r="L198" i="5"/>
  <c r="K198" i="5"/>
  <c r="N197" i="5"/>
  <c r="M197" i="5"/>
  <c r="L197" i="5"/>
  <c r="K197" i="5"/>
  <c r="N196" i="5"/>
  <c r="M196" i="5"/>
  <c r="L196" i="5"/>
  <c r="K196" i="5"/>
  <c r="N195" i="5"/>
  <c r="M195" i="5"/>
  <c r="L195" i="5"/>
  <c r="K195" i="5"/>
  <c r="N194" i="5"/>
  <c r="M194" i="5"/>
  <c r="L194" i="5"/>
  <c r="K194" i="5"/>
  <c r="N193" i="5"/>
  <c r="M193" i="5"/>
  <c r="L193" i="5"/>
  <c r="K193" i="5"/>
  <c r="N192" i="5"/>
  <c r="M192" i="5"/>
  <c r="L192" i="5"/>
  <c r="K192" i="5"/>
  <c r="N191" i="5"/>
  <c r="M191" i="5"/>
  <c r="L191" i="5"/>
  <c r="K191" i="5"/>
  <c r="N190" i="5"/>
  <c r="M190" i="5"/>
  <c r="L190" i="5"/>
  <c r="K190" i="5"/>
  <c r="N189" i="5"/>
  <c r="M189" i="5"/>
  <c r="L189" i="5"/>
  <c r="K189" i="5"/>
  <c r="N188" i="5"/>
  <c r="M188" i="5"/>
  <c r="L188" i="5"/>
  <c r="K188" i="5"/>
  <c r="N187" i="5"/>
  <c r="M187" i="5"/>
  <c r="L187" i="5"/>
  <c r="K187" i="5"/>
  <c r="N186" i="5"/>
  <c r="M186" i="5"/>
  <c r="L186" i="5"/>
  <c r="K186" i="5"/>
  <c r="N185" i="5"/>
  <c r="M185" i="5"/>
  <c r="L185" i="5"/>
  <c r="K185" i="5"/>
  <c r="N184" i="5"/>
  <c r="M184" i="5"/>
  <c r="L184" i="5"/>
  <c r="K184" i="5"/>
  <c r="N183" i="5"/>
  <c r="M183" i="5"/>
  <c r="L183" i="5"/>
  <c r="K183" i="5"/>
  <c r="N182" i="5"/>
  <c r="M182" i="5"/>
  <c r="L182" i="5"/>
  <c r="K182" i="5"/>
  <c r="N181" i="5"/>
  <c r="M181" i="5"/>
  <c r="L181" i="5"/>
  <c r="K181" i="5"/>
  <c r="N180" i="5"/>
  <c r="M180" i="5"/>
  <c r="L180" i="5"/>
  <c r="K180" i="5"/>
  <c r="N179" i="5"/>
  <c r="M179" i="5"/>
  <c r="L179" i="5"/>
  <c r="K179" i="5"/>
  <c r="N178" i="5"/>
  <c r="M178" i="5"/>
  <c r="L178" i="5"/>
  <c r="K178" i="5"/>
  <c r="N177" i="5"/>
  <c r="M177" i="5"/>
  <c r="L177" i="5"/>
  <c r="K177" i="5"/>
  <c r="N176" i="5"/>
  <c r="M176" i="5"/>
  <c r="L176" i="5"/>
  <c r="K176" i="5"/>
  <c r="N175" i="5"/>
  <c r="M175" i="5"/>
  <c r="L175" i="5"/>
  <c r="K175" i="5"/>
  <c r="N174" i="5"/>
  <c r="M174" i="5"/>
  <c r="L174" i="5"/>
  <c r="K174" i="5"/>
  <c r="N173" i="5"/>
  <c r="M173" i="5"/>
  <c r="L173" i="5"/>
  <c r="K173" i="5"/>
  <c r="N172" i="5"/>
  <c r="M172" i="5"/>
  <c r="L172" i="5"/>
  <c r="K172" i="5"/>
  <c r="N171" i="5"/>
  <c r="M171" i="5"/>
  <c r="L171" i="5"/>
  <c r="K171" i="5"/>
  <c r="N170" i="5"/>
  <c r="M170" i="5"/>
  <c r="L170" i="5"/>
  <c r="K170" i="5"/>
  <c r="N169" i="5"/>
  <c r="M169" i="5"/>
  <c r="L169" i="5"/>
  <c r="K169" i="5"/>
  <c r="N168" i="5"/>
  <c r="M168" i="5"/>
  <c r="L168" i="5"/>
  <c r="K168" i="5"/>
  <c r="N167" i="5"/>
  <c r="M167" i="5"/>
  <c r="L167" i="5"/>
  <c r="K167" i="5"/>
  <c r="N166" i="5"/>
  <c r="M166" i="5"/>
  <c r="L166" i="5"/>
  <c r="K166" i="5"/>
  <c r="N165" i="5"/>
  <c r="M165" i="5"/>
  <c r="L165" i="5"/>
  <c r="K165" i="5"/>
  <c r="N164" i="5"/>
  <c r="M164" i="5"/>
  <c r="L164" i="5"/>
  <c r="K164" i="5"/>
  <c r="N163" i="5"/>
  <c r="M163" i="5"/>
  <c r="L163" i="5"/>
  <c r="K163" i="5"/>
  <c r="N162" i="5"/>
  <c r="M162" i="5"/>
  <c r="L162" i="5"/>
  <c r="K162" i="5"/>
  <c r="N161" i="5"/>
  <c r="M161" i="5"/>
  <c r="L161" i="5"/>
  <c r="K161" i="5"/>
  <c r="N160" i="5"/>
  <c r="M160" i="5"/>
  <c r="L160" i="5"/>
  <c r="K160" i="5"/>
  <c r="N159" i="5"/>
  <c r="M159" i="5"/>
  <c r="L159" i="5"/>
  <c r="K159" i="5"/>
  <c r="N158" i="5"/>
  <c r="M158" i="5"/>
  <c r="L158" i="5"/>
  <c r="K158" i="5"/>
  <c r="N157" i="5"/>
  <c r="M157" i="5"/>
  <c r="L157" i="5"/>
  <c r="K157" i="5"/>
  <c r="N156" i="5"/>
  <c r="M156" i="5"/>
  <c r="L156" i="5"/>
  <c r="K156" i="5"/>
  <c r="N155" i="5"/>
  <c r="M155" i="5"/>
  <c r="L155" i="5"/>
  <c r="K155" i="5"/>
  <c r="N154" i="5"/>
  <c r="M154" i="5"/>
  <c r="L154" i="5"/>
  <c r="K154" i="5"/>
  <c r="N153" i="5"/>
  <c r="M153" i="5"/>
  <c r="L153" i="5"/>
  <c r="K153" i="5"/>
  <c r="N152" i="5"/>
  <c r="M152" i="5"/>
  <c r="L152" i="5"/>
  <c r="K152" i="5"/>
  <c r="N151" i="5"/>
  <c r="M151" i="5"/>
  <c r="L151" i="5"/>
  <c r="K151" i="5"/>
  <c r="N150" i="5"/>
  <c r="M150" i="5"/>
  <c r="L150" i="5"/>
  <c r="K150" i="5"/>
  <c r="N149" i="5"/>
  <c r="M149" i="5"/>
  <c r="L149" i="5"/>
  <c r="K149" i="5"/>
  <c r="N148" i="5"/>
  <c r="M148" i="5"/>
  <c r="L148" i="5"/>
  <c r="K148" i="5"/>
  <c r="N147" i="5"/>
  <c r="M147" i="5"/>
  <c r="L147" i="5"/>
  <c r="K147" i="5"/>
  <c r="N146" i="5"/>
  <c r="M146" i="5"/>
  <c r="L146" i="5"/>
  <c r="K146" i="5"/>
  <c r="N145" i="5"/>
  <c r="M145" i="5"/>
  <c r="L145" i="5"/>
  <c r="K145" i="5"/>
  <c r="N144" i="5"/>
  <c r="M144" i="5"/>
  <c r="L144" i="5"/>
  <c r="K144" i="5"/>
  <c r="N143" i="5"/>
  <c r="M143" i="5"/>
  <c r="L143" i="5"/>
  <c r="K143" i="5"/>
  <c r="N142" i="5"/>
  <c r="M142" i="5"/>
  <c r="L142" i="5"/>
  <c r="K142" i="5"/>
  <c r="N141" i="5"/>
  <c r="M141" i="5"/>
  <c r="L141" i="5"/>
  <c r="K141" i="5"/>
  <c r="N140" i="5"/>
  <c r="M140" i="5"/>
  <c r="L140" i="5"/>
  <c r="K140" i="5"/>
  <c r="N139" i="5"/>
  <c r="M139" i="5"/>
  <c r="L139" i="5"/>
  <c r="K139" i="5"/>
  <c r="N138" i="5"/>
  <c r="M138" i="5"/>
  <c r="L138" i="5"/>
  <c r="K138" i="5"/>
  <c r="N137" i="5"/>
  <c r="M137" i="5"/>
  <c r="L137" i="5"/>
  <c r="K137" i="5"/>
  <c r="N136" i="5"/>
  <c r="M136" i="5"/>
  <c r="L136" i="5"/>
  <c r="K136" i="5"/>
  <c r="N135" i="5"/>
  <c r="M135" i="5"/>
  <c r="L135" i="5"/>
  <c r="K135" i="5"/>
  <c r="N134" i="5"/>
  <c r="M134" i="5"/>
  <c r="L134" i="5"/>
  <c r="K134" i="5"/>
  <c r="N133" i="5"/>
  <c r="M133" i="5"/>
  <c r="L133" i="5"/>
  <c r="K133" i="5"/>
  <c r="N132" i="5"/>
  <c r="M132" i="5"/>
  <c r="L132" i="5"/>
  <c r="K132" i="5"/>
  <c r="N131" i="5"/>
  <c r="M131" i="5"/>
  <c r="L131" i="5"/>
  <c r="K131" i="5"/>
  <c r="N130" i="5"/>
  <c r="M130" i="5"/>
  <c r="L130" i="5"/>
  <c r="K130" i="5"/>
  <c r="N129" i="5"/>
  <c r="M129" i="5"/>
  <c r="L129" i="5"/>
  <c r="K129" i="5"/>
  <c r="N128" i="5"/>
  <c r="M128" i="5"/>
  <c r="L128" i="5"/>
  <c r="K128" i="5"/>
  <c r="N127" i="5"/>
  <c r="M127" i="5"/>
  <c r="L127" i="5"/>
  <c r="K127" i="5"/>
  <c r="N126" i="5"/>
  <c r="M126" i="5"/>
  <c r="L126" i="5"/>
  <c r="K126" i="5"/>
  <c r="N125" i="5"/>
  <c r="M125" i="5"/>
  <c r="L125" i="5"/>
  <c r="K125" i="5"/>
  <c r="N124" i="5"/>
  <c r="M124" i="5"/>
  <c r="L124" i="5"/>
  <c r="K124" i="5"/>
  <c r="N123" i="5"/>
  <c r="M123" i="5"/>
  <c r="L123" i="5"/>
  <c r="K123" i="5"/>
  <c r="N122" i="5"/>
  <c r="M122" i="5"/>
  <c r="L122" i="5"/>
  <c r="K122" i="5"/>
  <c r="N121" i="5"/>
  <c r="M121" i="5"/>
  <c r="L121" i="5"/>
  <c r="K121" i="5"/>
  <c r="N120" i="5"/>
  <c r="M120" i="5"/>
  <c r="L120" i="5"/>
  <c r="K120" i="5"/>
  <c r="N119" i="5"/>
  <c r="M119" i="5"/>
  <c r="L119" i="5"/>
  <c r="K119" i="5"/>
  <c r="N118" i="5"/>
  <c r="M118" i="5"/>
  <c r="L118" i="5"/>
  <c r="K118" i="5"/>
  <c r="N117" i="5"/>
  <c r="M117" i="5"/>
  <c r="L117" i="5"/>
  <c r="K117" i="5"/>
  <c r="N116" i="5"/>
  <c r="M116" i="5"/>
  <c r="L116" i="5"/>
  <c r="K116" i="5"/>
  <c r="N115" i="5"/>
  <c r="M115" i="5"/>
  <c r="L115" i="5"/>
  <c r="K115" i="5"/>
  <c r="N114" i="5"/>
  <c r="M114" i="5"/>
  <c r="L114" i="5"/>
  <c r="K114" i="5"/>
  <c r="N113" i="5"/>
  <c r="M113" i="5"/>
  <c r="L113" i="5"/>
  <c r="K113" i="5"/>
  <c r="N112" i="5"/>
  <c r="M112" i="5"/>
  <c r="L112" i="5"/>
  <c r="K112" i="5"/>
  <c r="N111" i="5"/>
  <c r="M111" i="5"/>
  <c r="L111" i="5"/>
  <c r="K111" i="5"/>
  <c r="N110" i="5"/>
  <c r="M110" i="5"/>
  <c r="L110" i="5"/>
  <c r="K110" i="5"/>
  <c r="N109" i="5"/>
  <c r="M109" i="5"/>
  <c r="L109" i="5"/>
  <c r="K109" i="5"/>
  <c r="N108" i="5"/>
  <c r="M108" i="5"/>
  <c r="L108" i="5"/>
  <c r="K108" i="5"/>
  <c r="N107" i="5"/>
  <c r="M107" i="5"/>
  <c r="L107" i="5"/>
  <c r="K107" i="5"/>
  <c r="N106" i="5"/>
  <c r="M106" i="5"/>
  <c r="L106" i="5"/>
  <c r="K106" i="5"/>
  <c r="N105" i="5"/>
  <c r="M105" i="5"/>
  <c r="L105" i="5"/>
  <c r="K105" i="5"/>
  <c r="N104" i="5"/>
  <c r="M104" i="5"/>
  <c r="L104" i="5"/>
  <c r="K104" i="5"/>
  <c r="N103" i="5"/>
  <c r="M103" i="5"/>
  <c r="L103" i="5"/>
  <c r="K103" i="5"/>
  <c r="N102" i="5"/>
  <c r="M102" i="5"/>
  <c r="L102" i="5"/>
  <c r="K102" i="5"/>
  <c r="N101" i="5"/>
  <c r="M101" i="5"/>
  <c r="L101" i="5"/>
  <c r="K101" i="5"/>
  <c r="N100" i="5"/>
  <c r="M100" i="5"/>
  <c r="L100" i="5"/>
  <c r="K100" i="5"/>
  <c r="N99" i="5"/>
  <c r="M99" i="5"/>
  <c r="L99" i="5"/>
  <c r="K99" i="5"/>
  <c r="N98" i="5"/>
  <c r="M98" i="5"/>
  <c r="L98" i="5"/>
  <c r="K98" i="5"/>
  <c r="N97" i="5"/>
  <c r="M97" i="5"/>
  <c r="L97" i="5"/>
  <c r="K97" i="5"/>
  <c r="N96" i="5"/>
  <c r="M96" i="5"/>
  <c r="L96" i="5"/>
  <c r="K96" i="5"/>
  <c r="N95" i="5"/>
  <c r="M95" i="5"/>
  <c r="L95" i="5"/>
  <c r="K95" i="5"/>
  <c r="N94" i="5"/>
  <c r="M94" i="5"/>
  <c r="L94" i="5"/>
  <c r="K94" i="5"/>
  <c r="N93" i="5"/>
  <c r="M93" i="5"/>
  <c r="L93" i="5"/>
  <c r="K93" i="5"/>
  <c r="N92" i="5"/>
  <c r="M92" i="5"/>
  <c r="L92" i="5"/>
  <c r="K92" i="5"/>
  <c r="N91" i="5"/>
  <c r="M91" i="5"/>
  <c r="L91" i="5"/>
  <c r="K91" i="5"/>
  <c r="N90" i="5"/>
  <c r="D12" i="6" s="1"/>
  <c r="M90" i="5"/>
  <c r="L90" i="5"/>
  <c r="K90" i="5"/>
  <c r="N89" i="5"/>
  <c r="M89" i="5"/>
  <c r="L89" i="5"/>
  <c r="K89" i="5"/>
  <c r="N88" i="5"/>
  <c r="M88" i="5"/>
  <c r="L88" i="5"/>
  <c r="K88" i="5"/>
  <c r="N87" i="5"/>
  <c r="M87" i="5"/>
  <c r="L87" i="5"/>
  <c r="K87" i="5"/>
  <c r="N86" i="5"/>
  <c r="M86" i="5"/>
  <c r="L86" i="5"/>
  <c r="K86" i="5"/>
  <c r="N85" i="5"/>
  <c r="M85" i="5"/>
  <c r="L85" i="5"/>
  <c r="K85" i="5"/>
  <c r="N84" i="5"/>
  <c r="M84" i="5"/>
  <c r="L84" i="5"/>
  <c r="K84" i="5"/>
  <c r="N83" i="5"/>
  <c r="M83" i="5"/>
  <c r="L83" i="5"/>
  <c r="K83" i="5"/>
  <c r="N82" i="5"/>
  <c r="M82" i="5"/>
  <c r="L82" i="5"/>
  <c r="K82" i="5"/>
  <c r="N81" i="5"/>
  <c r="M81" i="5"/>
  <c r="L81" i="5"/>
  <c r="K81" i="5"/>
  <c r="N80" i="5"/>
  <c r="M80" i="5"/>
  <c r="L80" i="5"/>
  <c r="K80" i="5"/>
  <c r="N79" i="5"/>
  <c r="M79" i="5"/>
  <c r="L79" i="5"/>
  <c r="K79" i="5"/>
  <c r="N78" i="5"/>
  <c r="M78" i="5"/>
  <c r="L78" i="5"/>
  <c r="K78" i="5"/>
  <c r="N77" i="5"/>
  <c r="M77" i="5"/>
  <c r="L77" i="5"/>
  <c r="K77" i="5"/>
  <c r="N76" i="5"/>
  <c r="M76" i="5"/>
  <c r="L76" i="5"/>
  <c r="K76" i="5"/>
  <c r="N75" i="5"/>
  <c r="M75" i="5"/>
  <c r="L75" i="5"/>
  <c r="K75" i="5"/>
  <c r="N74" i="5"/>
  <c r="M74" i="5"/>
  <c r="L74" i="5"/>
  <c r="K74" i="5"/>
  <c r="N73" i="5"/>
  <c r="M73" i="5"/>
  <c r="L73" i="5"/>
  <c r="K73" i="5"/>
  <c r="N72" i="5"/>
  <c r="M72" i="5"/>
  <c r="L72" i="5"/>
  <c r="K72" i="5"/>
  <c r="N71" i="5"/>
  <c r="M71" i="5"/>
  <c r="L71" i="5"/>
  <c r="K71" i="5"/>
  <c r="N70" i="5"/>
  <c r="D14" i="6" s="1"/>
  <c r="M70" i="5"/>
  <c r="L70" i="5"/>
  <c r="K70" i="5"/>
  <c r="N69" i="5"/>
  <c r="M69" i="5"/>
  <c r="L69" i="5"/>
  <c r="K69" i="5"/>
  <c r="N68" i="5"/>
  <c r="M68" i="5"/>
  <c r="L68" i="5"/>
  <c r="K68" i="5"/>
  <c r="N67" i="5"/>
  <c r="M67" i="5"/>
  <c r="L67" i="5"/>
  <c r="K67" i="5"/>
  <c r="N66" i="5"/>
  <c r="M66" i="5"/>
  <c r="L66" i="5"/>
  <c r="K66" i="5"/>
  <c r="N65" i="5"/>
  <c r="M65" i="5"/>
  <c r="L65" i="5"/>
  <c r="K65" i="5"/>
  <c r="N64" i="5"/>
  <c r="M64" i="5"/>
  <c r="L64" i="5"/>
  <c r="K64" i="5"/>
  <c r="N63" i="5"/>
  <c r="B62" i="6" s="1"/>
  <c r="M63" i="5"/>
  <c r="L63" i="5"/>
  <c r="K63" i="5"/>
  <c r="N62" i="5"/>
  <c r="M62" i="5"/>
  <c r="L62" i="5"/>
  <c r="K62" i="5"/>
  <c r="N61" i="5"/>
  <c r="M61" i="5"/>
  <c r="L61" i="5"/>
  <c r="K61" i="5"/>
  <c r="N60" i="5"/>
  <c r="M60" i="5"/>
  <c r="L60" i="5"/>
  <c r="K60" i="5"/>
  <c r="N59" i="5"/>
  <c r="M59" i="5"/>
  <c r="L59" i="5"/>
  <c r="K59" i="5"/>
  <c r="N58" i="5"/>
  <c r="M58" i="5"/>
  <c r="L58" i="5"/>
  <c r="K58" i="5"/>
  <c r="N57" i="5"/>
  <c r="M57" i="5"/>
  <c r="L57" i="5"/>
  <c r="K57" i="5"/>
  <c r="N56" i="5"/>
  <c r="M56" i="5"/>
  <c r="L56" i="5"/>
  <c r="K56" i="5"/>
  <c r="N55" i="5"/>
  <c r="M55" i="5"/>
  <c r="L55" i="5"/>
  <c r="K55" i="5"/>
  <c r="N54" i="5"/>
  <c r="M54" i="5"/>
  <c r="L54" i="5"/>
  <c r="K54" i="5"/>
  <c r="N53" i="5"/>
  <c r="M53" i="5"/>
  <c r="L53" i="5"/>
  <c r="K53" i="5"/>
  <c r="N52" i="5"/>
  <c r="M52" i="5"/>
  <c r="L52" i="5"/>
  <c r="K52" i="5"/>
  <c r="N51" i="5"/>
  <c r="M51" i="5"/>
  <c r="L51" i="5"/>
  <c r="K51" i="5"/>
  <c r="N50" i="5"/>
  <c r="D16" i="6" s="1"/>
  <c r="M50" i="5"/>
  <c r="L50" i="5"/>
  <c r="K50" i="5"/>
  <c r="N49" i="5"/>
  <c r="M49" i="5"/>
  <c r="L49" i="5"/>
  <c r="K49" i="5"/>
  <c r="N48" i="5"/>
  <c r="M48" i="5"/>
  <c r="L48" i="5"/>
  <c r="K48" i="5"/>
  <c r="N47" i="5"/>
  <c r="M47" i="5"/>
  <c r="L47" i="5"/>
  <c r="K47" i="5"/>
  <c r="N46" i="5"/>
  <c r="M46" i="5"/>
  <c r="L46" i="5"/>
  <c r="K46" i="5"/>
  <c r="N45" i="5"/>
  <c r="M45" i="5"/>
  <c r="L45" i="5"/>
  <c r="K45" i="5"/>
  <c r="N44" i="5"/>
  <c r="M44" i="5"/>
  <c r="L44" i="5"/>
  <c r="K44" i="5"/>
  <c r="N43" i="5"/>
  <c r="M43" i="5"/>
  <c r="L43" i="5"/>
  <c r="K43" i="5"/>
  <c r="N42" i="5"/>
  <c r="M42" i="5"/>
  <c r="L42" i="5"/>
  <c r="K42" i="5"/>
  <c r="N41" i="5"/>
  <c r="B63" i="6" s="1"/>
  <c r="M41" i="5"/>
  <c r="L41" i="5"/>
  <c r="K41" i="5"/>
  <c r="N40" i="5"/>
  <c r="M40" i="5"/>
  <c r="L40" i="5"/>
  <c r="K40" i="5"/>
  <c r="N39" i="5"/>
  <c r="M39" i="5"/>
  <c r="L39" i="5"/>
  <c r="K39" i="5"/>
  <c r="N38" i="5"/>
  <c r="M38" i="5"/>
  <c r="L38" i="5"/>
  <c r="K38" i="5"/>
  <c r="N37" i="5"/>
  <c r="M37" i="5"/>
  <c r="L37" i="5"/>
  <c r="K37" i="5"/>
  <c r="N36" i="5"/>
  <c r="M36" i="5"/>
  <c r="L36" i="5"/>
  <c r="K36" i="5"/>
  <c r="N35" i="5"/>
  <c r="M35" i="5"/>
  <c r="L35" i="5"/>
  <c r="K35" i="5"/>
  <c r="N34" i="5"/>
  <c r="M34" i="5"/>
  <c r="L34" i="5"/>
  <c r="K34" i="5"/>
  <c r="N33" i="5"/>
  <c r="M33" i="5"/>
  <c r="L33" i="5"/>
  <c r="K33" i="5"/>
  <c r="N32" i="5"/>
  <c r="M32" i="5"/>
  <c r="L32" i="5"/>
  <c r="K32" i="5"/>
  <c r="N31" i="5"/>
  <c r="M31" i="5"/>
  <c r="L31" i="5"/>
  <c r="K31" i="5"/>
  <c r="N30" i="5"/>
  <c r="M30" i="5"/>
  <c r="L30" i="5"/>
  <c r="K30" i="5"/>
  <c r="N29" i="5"/>
  <c r="M29" i="5"/>
  <c r="L29" i="5"/>
  <c r="K29" i="5"/>
  <c r="N28" i="5"/>
  <c r="M28" i="5"/>
  <c r="L28" i="5"/>
  <c r="K28" i="5"/>
  <c r="N27" i="5"/>
  <c r="M27" i="5"/>
  <c r="L27" i="5"/>
  <c r="K27" i="5"/>
  <c r="N26" i="5"/>
  <c r="M26" i="5"/>
  <c r="L26" i="5"/>
  <c r="K26" i="5"/>
  <c r="N25" i="5"/>
  <c r="M25" i="5"/>
  <c r="L25" i="5"/>
  <c r="K25" i="5"/>
  <c r="N24" i="5"/>
  <c r="M24" i="5"/>
  <c r="L24" i="5"/>
  <c r="K24" i="5"/>
  <c r="N23" i="5"/>
  <c r="B60" i="6" s="1"/>
  <c r="M23" i="5"/>
  <c r="L23" i="5"/>
  <c r="K23" i="5"/>
  <c r="N22" i="5"/>
  <c r="M22" i="5"/>
  <c r="L22" i="5"/>
  <c r="K22" i="5"/>
  <c r="N21" i="5"/>
  <c r="M21" i="5"/>
  <c r="L21" i="5"/>
  <c r="K21" i="5"/>
  <c r="N20" i="5"/>
  <c r="B68" i="6" s="1"/>
  <c r="M20" i="5"/>
  <c r="L20" i="5"/>
  <c r="K20" i="5"/>
  <c r="N19" i="5"/>
  <c r="M19" i="5"/>
  <c r="L19" i="5"/>
  <c r="K19" i="5"/>
  <c r="N18" i="5"/>
  <c r="M18" i="5"/>
  <c r="L18" i="5"/>
  <c r="K18" i="5"/>
  <c r="N17" i="5"/>
  <c r="M17" i="5"/>
  <c r="L17" i="5"/>
  <c r="K17" i="5"/>
  <c r="N16" i="5"/>
  <c r="M16" i="5"/>
  <c r="L16" i="5"/>
  <c r="K16" i="5"/>
  <c r="N15" i="5"/>
  <c r="M15" i="5"/>
  <c r="L15" i="5"/>
  <c r="K15" i="5"/>
  <c r="N14" i="5"/>
  <c r="M14" i="5"/>
  <c r="L14" i="5"/>
  <c r="K14" i="5"/>
  <c r="N13" i="5"/>
  <c r="M13" i="5"/>
  <c r="L13" i="5"/>
  <c r="K13" i="5"/>
  <c r="N12" i="5"/>
  <c r="M12" i="5"/>
  <c r="L12" i="5"/>
  <c r="K12" i="5"/>
  <c r="N11" i="5"/>
  <c r="M11" i="5"/>
  <c r="L11" i="5"/>
  <c r="K11" i="5"/>
  <c r="N10" i="5"/>
  <c r="M10" i="5"/>
  <c r="L10" i="5"/>
  <c r="K10" i="5"/>
  <c r="N9" i="5"/>
  <c r="M9" i="5"/>
  <c r="L9" i="5"/>
  <c r="K9" i="5"/>
  <c r="N8" i="5"/>
  <c r="M8" i="5"/>
  <c r="L8" i="5"/>
  <c r="K8" i="5"/>
  <c r="N7" i="5"/>
  <c r="M7" i="5"/>
  <c r="L7" i="5"/>
  <c r="K7" i="5"/>
  <c r="N6" i="5"/>
  <c r="M6" i="5"/>
  <c r="L6" i="5"/>
  <c r="K6" i="5"/>
  <c r="N5" i="5"/>
  <c r="M5" i="5"/>
  <c r="L5" i="5"/>
  <c r="K5" i="5"/>
  <c r="B25" i="3"/>
  <c r="E42" i="6" s="1"/>
  <c r="D17" i="6" l="1"/>
  <c r="D18" i="6"/>
  <c r="I23" i="6" a="1"/>
  <c r="I23" i="6" s="1"/>
  <c r="I16" i="6" a="1"/>
  <c r="I16" i="6" s="1"/>
  <c r="B13" i="6"/>
  <c r="B6" i="7" s="1"/>
  <c r="D6" i="7" s="1"/>
  <c r="D19" i="6"/>
  <c r="I20" i="6" a="1"/>
  <c r="I20" i="6" s="1"/>
  <c r="I19" i="6" a="1"/>
  <c r="I19" i="6" s="1"/>
  <c r="I13" i="6" a="1"/>
  <c r="I13" i="6" s="1"/>
  <c r="I21" i="6" a="1"/>
  <c r="I21" i="6" s="1"/>
  <c r="I18" i="6" a="1"/>
  <c r="I18" i="6" s="1"/>
  <c r="I14" i="6" a="1"/>
  <c r="I14" i="6" s="1"/>
  <c r="I22" i="6" a="1"/>
  <c r="I22" i="6" s="1"/>
  <c r="I17" i="6" a="1"/>
  <c r="I17" i="6" s="1"/>
  <c r="I15" i="6" a="1"/>
  <c r="I15" i="6" s="1"/>
  <c r="E22" i="6"/>
  <c r="D15" i="6"/>
  <c r="I12" i="6" a="1"/>
  <c r="I12" i="6" s="1"/>
  <c r="B64" i="6"/>
  <c r="B19" i="6"/>
  <c r="B12" i="7" s="1"/>
  <c r="D12" i="7" s="1"/>
  <c r="B56" i="6"/>
  <c r="B17" i="6"/>
  <c r="B10" i="7" s="1"/>
  <c r="D10" i="7" s="1"/>
  <c r="C15" i="6"/>
  <c r="B15" i="6"/>
  <c r="B8" i="7" s="1"/>
  <c r="D8" i="7" s="1"/>
  <c r="E23" i="6"/>
  <c r="B57" i="6"/>
  <c r="C13" i="6"/>
  <c r="C17" i="6"/>
  <c r="C18" i="6"/>
  <c r="B18" i="6"/>
  <c r="B11" i="7" s="1"/>
  <c r="D11" i="7" s="1"/>
  <c r="B14" i="6"/>
  <c r="B7" i="7" s="1"/>
  <c r="D7" i="7" s="1"/>
  <c r="D13" i="6"/>
  <c r="C12" i="6"/>
  <c r="B12" i="6"/>
  <c r="D20" i="6"/>
  <c r="B58" i="6"/>
  <c r="C16" i="6"/>
  <c r="B16" i="6"/>
  <c r="C14" i="6"/>
  <c r="E21" i="6"/>
  <c r="B14" i="7"/>
  <c r="D14" i="7" s="1"/>
  <c r="A5" i="6"/>
  <c r="B41" i="6" s="1"/>
  <c r="B43" i="6" s="1"/>
  <c r="B51" i="6" s="1"/>
  <c r="C19" i="6"/>
  <c r="C20" i="6"/>
  <c r="B20" i="6"/>
  <c r="I5" i="6"/>
  <c r="B65" i="6"/>
  <c r="B66" i="6"/>
  <c r="B50" i="6"/>
  <c r="G5" i="6"/>
  <c r="B42" i="6"/>
  <c r="B59" i="6"/>
  <c r="B15" i="7"/>
  <c r="D15" i="7" s="1"/>
  <c r="E19" i="6" l="1"/>
  <c r="B44" i="6"/>
  <c r="E44" i="6"/>
  <c r="C5" i="6"/>
  <c r="A8" i="6" s="1"/>
  <c r="E5" i="6"/>
  <c r="E14" i="6"/>
  <c r="E16" i="6"/>
  <c r="F14" i="6"/>
  <c r="H14" i="6" s="1"/>
  <c r="E17" i="6"/>
  <c r="B9" i="7"/>
  <c r="D9" i="7" s="1"/>
  <c r="E15" i="6"/>
  <c r="F16" i="6"/>
  <c r="H16" i="6" s="1"/>
  <c r="F18" i="6"/>
  <c r="H18" i="6" s="1"/>
  <c r="E18" i="6"/>
  <c r="F13" i="6"/>
  <c r="H13" i="6" s="1"/>
  <c r="F15" i="6"/>
  <c r="H15" i="6" s="1"/>
  <c r="F17" i="6"/>
  <c r="H17" i="6" s="1"/>
  <c r="F19" i="6"/>
  <c r="H19" i="6" s="1"/>
  <c r="B5" i="7"/>
  <c r="D5" i="7" s="1"/>
  <c r="E12" i="6"/>
  <c r="F20" i="6"/>
  <c r="H20" i="6" s="1"/>
  <c r="F22" i="6"/>
  <c r="H22" i="6" s="1"/>
  <c r="F23" i="6"/>
  <c r="H23" i="6" s="1"/>
  <c r="F12" i="6"/>
  <c r="H12" i="6" s="1"/>
  <c r="E13" i="6"/>
  <c r="B13" i="7"/>
  <c r="D13" i="7" s="1"/>
  <c r="E20" i="6"/>
  <c r="F21" i="6"/>
  <c r="H21" i="6" s="1"/>
  <c r="B45" i="6" l="1"/>
  <c r="B47" i="6" s="1"/>
  <c r="B49" i="6" s="1"/>
  <c r="E15" i="7"/>
  <c r="E10" i="7"/>
  <c r="E8" i="7"/>
  <c r="B21" i="7"/>
  <c r="E5" i="7"/>
  <c r="E14" i="7"/>
  <c r="E7" i="7"/>
  <c r="E13" i="7"/>
  <c r="E9" i="7"/>
  <c r="E16" i="7"/>
  <c r="E12" i="7"/>
  <c r="E6" i="7"/>
  <c r="E11" i="7"/>
  <c r="B19" i="7"/>
  <c r="G7" i="7" l="1"/>
  <c r="F7" i="7"/>
  <c r="H7" i="7" s="1"/>
  <c r="G11" i="7"/>
  <c r="F11" i="7"/>
  <c r="H11" i="7" s="1"/>
  <c r="G12" i="7"/>
  <c r="F12" i="7"/>
  <c r="H12" i="7" s="1"/>
  <c r="G13" i="7"/>
  <c r="F13" i="7"/>
  <c r="H13" i="7" s="1"/>
  <c r="F14" i="7"/>
  <c r="H14" i="7" s="1"/>
  <c r="G14" i="7"/>
  <c r="B23" i="7"/>
  <c r="B22" i="7"/>
  <c r="F8" i="7"/>
  <c r="H8" i="7" s="1"/>
  <c r="G8" i="7"/>
  <c r="G9" i="7"/>
  <c r="F9" i="7"/>
  <c r="H9" i="7" s="1"/>
  <c r="G10" i="7"/>
  <c r="F10" i="7"/>
  <c r="H10" i="7" s="1"/>
  <c r="G6" i="7"/>
  <c r="F6" i="7"/>
  <c r="H6" i="7" s="1"/>
  <c r="G16" i="7"/>
  <c r="F16" i="7"/>
  <c r="H16" i="7" s="1"/>
  <c r="G5" i="7"/>
  <c r="F5" i="7"/>
  <c r="H5" i="7" s="1"/>
  <c r="G15" i="7"/>
  <c r="F15" i="7"/>
  <c r="H15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<sst xmlns="http://schemas.openxmlformats.org/spreadsheetml/2006/main" count="1268" uniqueCount="592">
  <si>
    <t>ЗАДАЧА</t>
  </si>
  <si>
    <t>Ты помогаешь мне вести учет небольшого бизнеса в Израиле со статусом עוסק פטור (эсек патур). Я прикладываю этот Excel-файл и документы за нужный период: банковские выписки, выписки кредитных карт, PDF/CSV/Excel, скриншоты, фото чеков и квитанций, а также мои записи о наличных операциях.</t>
  </si>
  <si>
    <t>СНАЧАЛА ПРОЧИТАЙ ФАЙЛ</t>
  </si>
  <si>
    <t>1. Используй структуру и категории из листов «Операции», «Категории» и «Настройки_2026».</t>
  </si>
  <si>
    <t>2. Не меняй формулы, дашборды, настройки, лист «Законы_2026» и структуру книги.</t>
  </si>
  <si>
    <t>3. Данные на листе «Операции» с Источник = ДЕМО являются только примерами. Если в «Настройки_2026» выбран режим «МОИ ДАННЫЕ», не учитывай DEMO как реальные операции.</t>
  </si>
  <si>
    <t>МОИ ДАННЫЕ - Я ЗАПОЛНЯЮ ПЕРЕД ОТПРАВКОЙ</t>
  </si>
  <si>
    <t>- Период: [например: 01.09.2026-30.09.2026]</t>
  </si>
  <si>
    <t>- Вид деятельности / профессия: [например: переводчик, дизайнер, консультант]. Если деятельность подпадает под תקנה 13 к תקנות מס ערך מוסף (רישום), отметь, что статус עוסק פטור может быть неприменим независимо от оборота.</t>
  </si>
  <si>
    <t>- Формат ответа: [таблица в чате / готовый Excel]</t>
  </si>
  <si>
    <t>- Наличные: [отслеживаю / не отслеживаю]</t>
  </si>
  <si>
    <t>- Мои карты и счета: [например: MAX ****1234 = Бизнес-карта; Bank account ****5678 = Бизнес-счет]. В ответе не повторяй полные номера.</t>
  </si>
  <si>
    <t>- Если есть смешанные личные/бизнес-расходы: [опиши известные доли или оставь пустым].</t>
  </si>
  <si>
    <t>КАК КЛАССИФИЦИРОВАТЬ ОПЕРАЦИИ</t>
  </si>
  <si>
    <t>1. ДОХОД. Реальное поступление от клиента за товар или услугу. Дата = дата получения денег. Для עוסק פטור при получении оплаты обычно должна быть קבלה (квитанция/receipt). Если номер квитанции не виден, оставь поле пустым и вынеси это в вопросы.</t>
  </si>
  <si>
    <t>2. РАСХОД. Реальная оплата поставщику или сервису для бизнеса. Для עוסק פטור входной НДС не возмещается: в «Сумма, ₪» заноси полную фактически уплаченную сумму в шекелях.</t>
  </si>
  <si>
    <t>3. НАЛОГ/ВЗНОС. Аванс מס הכנסה, ביטוח לאומי/מס בריאות, пенсионный взнос, קרן השתלמות и другие отдельные платежи собственника государству/фондам. Не смешивай их с операционными расходами.</t>
  </si>
  <si>
    <t>4. ПЕРЕВОД. Перевод между своими счетами, погашение кредитной карты с банковского счета, перемещение денег в наличные. Это не доход и не расход бизнеса, чтобы не было двойного учета.</t>
  </si>
  <si>
    <t>ПРАВИЛА РАЗБОРА ДОКУМЕНТОВ</t>
  </si>
  <si>
    <t>1. Категорию и тип выбирай только из листа «Категории», название пиши точно как в файле.</t>
  </si>
  <si>
    <t>2. Сумма - число в шекелях. Возврат/сторно заноси отрицательным числом в ту же категорию.</t>
  </si>
  <si>
    <t>3. Операция в иностранной валюте: в сумму занеси фактически списанную сумму в ₪ из выписки; исходную валюту и сумму укажи в комментарии. Комиссию банка/эмитента внеси отдельной строкой.</t>
  </si>
  <si>
    <t>4. Рассрочка/תשלומים: для денежного потока заноси только конкретный платеж, реально списанный в этом периоде; номер платежа и полную стоимость покупки укажи в комментарии.</t>
  </si>
  <si>
    <t>5. Списание кредитной карты в банковской выписке (ישראכרט / MAX / כאל и т.п.) - тип «Перевод», категория «Погашение кредитной карты». Сами покупки бери из выписки карты.</t>
  </si>
  <si>
    <t>6. Снятие наличных: если наличные отслеживаются, это «Перевод» / «Снятие наличных». Сами наличные траты вносятся отдельными строками. Если наличные не отслеживаются - вынеси снятие в вопросы, не превращай его автоматически в бизнес-расход.</t>
  </si>
  <si>
    <t>7. Если одна покупка есть и в выписке, и на фото чека - это одна операция. Основной источник оставь выписку, чек упомяни в комментарии.</t>
  </si>
  <si>
    <t>8. Не относить личные траты к расходам бизнеса. Если назначение неясно - задай вопрос.</t>
  </si>
  <si>
    <t>9. Поле «Бизнес-доля, %» заполняй только если доля прямо указана мной или однозначно следует из моих настроек. Не придумывай процент для автомобиля, телефона, домашнего интернета, оборудования и других смешанных/сложных расходов.</t>
  </si>
  <si>
    <t>10. Ничего не угадывай. Нечитаемую дату, сумму, контрагента, номер документа или назначение вынеси в вопросы.</t>
  </si>
  <si>
    <t>11. Не переписывай в ответ теудат зеут, полные номера карт/счетов, домашний адрес, телефоны и другие лишние персональные данные. Для клиентских документов используй только данные, необходимые для учета.</t>
  </si>
  <si>
    <t>ВАЖНО ПРО СТАТУСЫ</t>
  </si>
  <si>
    <t>עוסק פטור - статус по НДС (מע״מ). בעל עסק זעיר - отдельный режим подоходного налога. Не считай автоматически, что любой עוסק פטור находится в режиме בעל עסק זעיר. Используй режим, выбранный на листе «Настройки_2026».</t>
  </si>
  <si>
    <t>Если выбран «בעל עסק זעיר (30%)», не заменяй нормативный вычет 30% реальными расходами. Реальные расходы в файле нужны для денежного потока и сравнения. Если выбран обычный учет, налогово признаваемая сумма рассчитывается только там, где задана бизнес-доля; спорные расходы не додумывай.</t>
  </si>
  <si>
    <t>ФОРМАТ ОТВЕТА</t>
  </si>
  <si>
    <t>ЧАСТЬ 1. Таблица для вставки на лист «Операции». Ровно 10 столбцов и в этом порядке:</t>
  </si>
  <si>
    <t>Дата | Тип | Контрагент / описание | Категория | Сумма, ₪ | Способ оплаты | № документа | Бизнес-доля, % | Источник | Комментарий</t>
  </si>
  <si>
    <t>- Дата: ДД.ММ.ГГГГ. Сумма: только число, без знака ₪. Бизнес-доля: число в процентах или пустая ячейка.</t>
  </si>
  <si>
    <t>- Строки от новых к старым.</t>
  </si>
  <si>
    <t>- Не добавляй столбцы K-N: это формулы файла.</t>
  </si>
  <si>
    <t>ЧАСТЬ 2. Вопросы ко мне - только если без ответа нельзя надежно классифицировать операцию.</t>
  </si>
  <si>
    <t>ЧАСТЬ 3. Сверка по каждому документу: Документ | Сумма доходов | Сумма расходов | Налоги/взносы | Исключенные переводы/личные операции | Необъясненная разница. Если разница не 0 - перечисли причины.</t>
  </si>
  <si>
    <t>ЧАСТЬ 4. Короткий контроль периода: оборот с начала года; доля использованного лимита עוסק פטור; остаток до лимита; крупные категории расходов; операции с пропущенным номером квитанции; возможные дубли. Без инвестиционных и налоговых советов, если я их отдельно не просил.</t>
  </si>
  <si>
    <t>ЕСЛИ Я ПРОШУ ГОТОВЫЙ EXCEL</t>
  </si>
  <si>
    <t>Добавь значения только в столбцы A-J листа «Операции». Для новых строк скопируй формулы K-N из соседней строки. Затем отсортируй весь диапазон A:N по дате от новых к старым. Не меняй остальные листы, формулы, диаграммы, проверки данных и форматирование.</t>
  </si>
  <si>
    <t>ПРОВЕРКА ЗАКОНОВ - ОБЯЗАТЕЛЬНО ДЛЯ ЛЮБЫХ НАЛОГОВЫХ ВЫВОДОВ</t>
  </si>
  <si>
    <t>Ориентируйся только на правила, действующие в Израиле в 2026 году. Перед любым налоговым, НДС, Битуах Леуми или пенсионным выводом сначала проверь актуальный официальный источник. Если у тебя нет доступа к интернету или актуальность правила не подтверждена - прямо напиши это и не придумывай.</t>
  </si>
  <si>
    <t>Приоритет источников: 1) действующий текст закона/подзаконного акта; 2) официальная страница רשות המסים / ביטוח לאומי / משרד האוצר с параметрами 2026; 3) официальный разъясняющий документ. При противоречии руководствуйся законом и укажи расхождение.</t>
  </si>
  <si>
    <t>Отдельно проверь: допустим ли вообще статус עוסק פטור для указанного вида деятельности; не относится ли деятельность к перечню תקנה 13, для которого требуется עוסק מורשה независимо от оборота.</t>
  </si>
  <si>
    <t>Не используй в ответе ссылки с tracking-параметрами, UTM, chatgpt, gpt или openai. Ссылки ниже уже даны в чистом виде.</t>
  </si>
  <si>
    <t>ОСНОВНЫЕ НОРМАТИВНЫЕ И ОФИЦИАЛЬНЫЕ ИСТОЧНИКИ ДЛЯ ПРОВЕРКИ</t>
  </si>
  <si>
    <t>1. Закон о НДС - חוק מס ערך מוסף, התשל״ו-1975 (действующий текст, база Кнессета): https://main.knesset.gov.il/apps/legislation/main/laws/2001068</t>
  </si>
  <si>
    <t>2. Регистрация по НДС - תקנות מס ערך מוסף (רישום), התשל״ו-1976; תקנה 13 содержит виды деятельности, для которых требуется עוסק מורשה: https://www.btl.gov.il/Laws1/02_0022_100001.pdf</t>
  </si>
  <si>
    <t>3. Ведение книг по НДС - תקנות מס ערך מוסף (ניהול פנקסי חשבונות), התשל״ו-1976: https://www.btl.gov.il/Laws1/02_0022_100006.pdf</t>
  </si>
  <si>
    <t>4. Открытие עוסק פטור и лимит 2026 - רשות המסים: https://www.gov.il/he/service/request-open-exempt-dealer-via-internet</t>
  </si>
  <si>
    <t>5. Годовая декларация עוסק פטור по НДС - רשות המסים: https://www.gov.il/he/service/vat-declarationisexempt</t>
  </si>
  <si>
    <t>6. Официальный справочник רשות המסים по ведению бизнеса и книг учета (актуальная публикация): https://www.gov.il/BlobFolder/generalpage/income-tax-guide-knowyourright/he/Guides_IncomeTax_da-2025.pdf</t>
  </si>
  <si>
    <t>7. Подоходный налог - פקודת מס הכנסה [נוסח חדש], действующий текст, база Кнессета: https://main.knesset.gov.il/apps/legislation/main/laws/2000944</t>
  </si>
  <si>
    <t>8. Шкала מס הכנסה и נקודת זיכוי на 2026 год - официальный документ: https://www.gov.il/BlobFolder/reports/press-income-tax-brackets/he/SalaryDataDetails_tax_bracket_2026.pdf</t>
  </si>
  <si>
    <t>9. Налоговый калькулятор רשות המסים - контрольный расчет: https://www.gov.il/he/service/income-tax-calculator</t>
  </si>
  <si>
    <t>10. Переход в режим בעל עסק זעיר - רשות המסים: https://www.gov.il/he/service/request-transfer-to-micro-business-owner</t>
  </si>
  <si>
    <t>11. Процедура/условия режима בעל עסק זעיר - רשות המסים: https://www.gov.il/BlobFolder/policy/income-tax-small-business-owner-24-210725/he/IncomeTax_procedures-210725-1.pdf</t>
  </si>
  <si>
    <t>12. Сокращенная годовая отчетность и платеж בעל עסק זעיר - רשות המסים: https://www.gov.il/he/service/report-and-payment-for-micro-business-owner</t>
  </si>
  <si>
    <t>13. Авансовый платеж בעל עסק זעיר - רשות המסים: https://www.gov.il/he/service/request-down-payment-for-micro-business-owner</t>
  </si>
  <si>
    <t>14. Закон о Битуах Леуми - חוק הביטוח הלאומי [נוסח משולב], התשנ״ה-1995, действующий текст: https://main.knesset.gov.il/apps/legislation/main/laws/2000198</t>
  </si>
  <si>
    <t>15. Определение עובד עצמאי для Битуах Леуми - официальная страница: https://www.btl.gov.il/Insurance/National%20Insurance/type_list/Self_Employed/Pages/default.aspx</t>
  </si>
  <si>
    <t>16. Ставки Битуах Леуми + медицинского страхования для עצמאי на 2026 год: https://www.btl.gov.il/Insurance/National%20Insurance/type_list/Self_Employed/Pages/rates.aspx</t>
  </si>
  <si>
    <t>17. Официальный расчет Битуах Леуми для עצמאי (2026): https://www.btl.gov.il/Insurance/National%20Insurance/type_list/Self_Employed/Pages/hishov.dmey.bituach.aspx</t>
  </si>
  <si>
    <t>18. Средняя зарплата по закону Битуах Леуми на 2026 год - база для ряда расчетов: https://www.btl.gov.il/Mediniyut/GeneralData/Pages/%D7%A9%D7%9B%D7%A8%20%D7%9E%D7%9E%D7%95%D7%A6%D7%A2.aspx</t>
  </si>
  <si>
    <t>19. Обязательная пенсия עצמאי - פרק ב׳ בחוק ההתייעלות הכלכלית 2017-2018, действующий закон: https://main.knesset.gov.il/APPS/legislation/main/laws/2012974</t>
  </si>
  <si>
    <t>20. Официальный текст нормы о ставках обязательной пенсии 4.45% / 12.55%: https://fs.knesset.gov.il/20/law/20_lsr_366872.pdf</t>
  </si>
  <si>
    <t>Файл - инструмент учета и предварительной оценки. Перед подачей отчетности, изменением статуса עוסק פטור / עוסק מורשה / בעל עסק זעיר, расчетом окончательного налога, Битуах Леуми или обязательной пенсии сверь итоговые цифры и применимость правил со своим бухгалтером или налоговым консультантом.</t>
  </si>
  <si>
    <t>Эсек патур 2026 - как пользоваться файлом</t>
  </si>
  <si>
    <t>Учебный шаблон для небольшого бизнеса в Израиле. В книге есть демонстрационные операции за несколько месяцев. Один раз настройте файл под себя, затем ведите единый журнал «Операции». Все налоговые расчеты в книге являются предварительными; перед подачей отчетности, изменением статуса или платежей сверяйте итоговые цифры и применимость льгот со своим бухгалтером/налоговым консультантом.</t>
  </si>
  <si>
    <t>Быстрый старт</t>
  </si>
  <si>
    <t>Шаг</t>
  </si>
  <si>
    <t>Где</t>
  </si>
  <si>
    <t>Что сделать</t>
  </si>
  <si>
    <t>1</t>
  </si>
  <si>
    <t>Настройки_2026</t>
  </si>
  <si>
    <t>Смените «Режим данных» с ДЕМО на «МОИ ДАННЫЕ». Демонстрационные строки останутся в журнале как образец, но перестанут попадать в расчеты.</t>
  </si>
  <si>
    <t>2</t>
  </si>
  <si>
    <t>Проверьте год, налоговый режим для מס הכנסה, число месяцев активности, годовой доход от зарплаты/других источников, удержанный налог и число נקודות זיכוי.</t>
  </si>
  <si>
    <t>3</t>
  </si>
  <si>
    <t>План_лимита</t>
  </si>
  <si>
    <t>Замените желтые прогнозы будущей выручки на свои. Лист покажет ожидаемый оборот к концу года и запас до лимита עוסק פטור.</t>
  </si>
  <si>
    <t>4</t>
  </si>
  <si>
    <t>Операции</t>
  </si>
  <si>
    <t>Добавляйте все бизнес-операции в один журнал. Доходы, расходы, налоги/взносы и переводы разделяются полем «Тип».</t>
  </si>
  <si>
    <t>5</t>
  </si>
  <si>
    <t>Промпт_AI</t>
  </si>
  <si>
    <t>Отправьте LLM этот Excel, промпт с первой вкладки и свои выписки/чеки. Для медицинских или иных конфиденциальных клиентских документов предварительно удалите данные, которые не нужны для финансового учета.</t>
  </si>
  <si>
    <t>6</t>
  </si>
  <si>
    <t>Дашборд</t>
  </si>
  <si>
    <t>Проверяйте оборот, остаток до лимита, денежный поток, оценку налогов и список предупреждений.</t>
  </si>
  <si>
    <t>Что означает статус</t>
  </si>
  <si>
    <t>Термин</t>
  </si>
  <si>
    <t>Как используется в файле</t>
  </si>
  <si>
    <t>עוסק פטור</t>
  </si>
  <si>
    <t>Статус по НДС (מע״מ). В 2026 году лимит годового оборота - 122,833 ₪. Патур не взимает НДС с клиентов и не возмещает входной НДС. Ограничение относится к обороту бизнеса, а не к прибыли.</t>
  </si>
  <si>
    <t>בעל עסק זעיר</t>
  </si>
  <si>
    <t>Отдельный режим подоходного налога. При регистрации и соблюдении условий позволяет нормативный вычет 30% оборота. Не каждый עוסק פטור автоматически является בעל עסק זעיר.</t>
  </si>
  <si>
    <t>Оборот</t>
  </si>
  <si>
    <t>Все доходы бизнеса до вычета расходов. Именно он используется для контроля лимита עוסק פטור.</t>
  </si>
  <si>
    <t>Денежный результат</t>
  </si>
  <si>
    <t>Доходы минус операционные расходы, налоги/взносы. Переводы между своими счетами не участвуют.</t>
  </si>
  <si>
    <t>Налоговая прибыль</t>
  </si>
  <si>
    <t>Зависит от выбранного режима: 70% оборота для בעל עסק זעיר или оборот минус налогово признаваемые расходы при обычном учете.</t>
  </si>
  <si>
    <t>Как заполнять журнал «Операции»</t>
  </si>
  <si>
    <t>Поле / тип</t>
  </si>
  <si>
    <t>Правило</t>
  </si>
  <si>
    <t>Доход</t>
  </si>
  <si>
    <t>Дата получения денег; клиент/описание; категория; сумма; способ оплаты; № קבלה; источник. Сумма положительная. Возврат клиенту - отрицательная строка той же категории.</t>
  </si>
  <si>
    <t>Расход</t>
  </si>
  <si>
    <t>Дата фактической оплаты; поставщик; категория; полная уплаченная сумма в ₪. Для патура входной НДС не вычитается из суммы.</t>
  </si>
  <si>
    <t>Налог/взнос</t>
  </si>
  <si>
    <t>מס הכנסה, ביטוח לאומי/בריאות, пенсия, קרן השתלמות - отдельные типы денежных оттоков. Они не смешиваются с операционными расходами.</t>
  </si>
  <si>
    <t>Перевод</t>
  </si>
  <si>
    <t>Погашение кредитной карты, перевод между своими счетами, снятие наличных при отдельном учете наличных. Не влияет на доход/расход.</t>
  </si>
  <si>
    <t>Бизнес-доля, %</t>
  </si>
  <si>
    <t>Нужна только для оценки налогово признаваемой суммы при обычном учете. Для смешанных или сложных расходов оставляйте пустой, пока доля не определена.</t>
  </si>
  <si>
    <t>Источник = ДЕМО</t>
  </si>
  <si>
    <t>Образец. При режиме «МОИ ДАННЫЕ» такие строки автоматически исключаются из всех расчетов.</t>
  </si>
  <si>
    <t>Контроль перед отчетностью</t>
  </si>
  <si>
    <t>•</t>
  </si>
  <si>
    <t>Оборот за календарный год не превышает лимит עוסק פטור, если бизнес должен сохранять этот статус.</t>
  </si>
  <si>
    <t>Доходы имеют номера выданных квитанций/קבלות там, где они должны быть.</t>
  </si>
  <si>
    <t>Нет двойного учета: покупки по карте учтены по выписке карты, а погашение карты в банке записано как перевод.</t>
  </si>
  <si>
    <t>Если выбран בעל עסק זעיר, проверены условия применения режима и выполнены требуемые действия в системе Рשות המסים.</t>
  </si>
  <si>
    <t>Если выбран обычный учет, для сложных/смешанных расходов определена налогово признаваемая сумма.</t>
  </si>
  <si>
    <t>Фактические авансы מס הכנסה, ביטוח לאומי и пенсионные платежи занесены отдельными строками.</t>
  </si>
  <si>
    <t>Настройки и параметры 2026</t>
  </si>
  <si>
    <t>Типы</t>
  </si>
  <si>
    <t>Оплата</t>
  </si>
  <si>
    <t>Источники</t>
  </si>
  <si>
    <t xml:space="preserve">Желтые ячейки - ввод пользователя. Значения ниже закона/ставок зафиксированы для 2026 года по источникам на листе «Законы_2026». </t>
  </si>
  <si>
    <t>Банковский перевод</t>
  </si>
  <si>
    <t>ДЕМО</t>
  </si>
  <si>
    <t>Кредитная карта</t>
  </si>
  <si>
    <t>Выписка банка</t>
  </si>
  <si>
    <t>Пользовательские настройки</t>
  </si>
  <si>
    <t>Дебетовая карта</t>
  </si>
  <si>
    <t>Выписка карты</t>
  </si>
  <si>
    <t>Параметр</t>
  </si>
  <si>
    <t>Значение</t>
  </si>
  <si>
    <t>Ед.</t>
  </si>
  <si>
    <t>Пояснение</t>
  </si>
  <si>
    <t>Bit / PayBox</t>
  </si>
  <si>
    <t>Чек / квитанция</t>
  </si>
  <si>
    <t>Режим данных</t>
  </si>
  <si>
    <t>ДЕМО / МОИ ДАННЫЕ</t>
  </si>
  <si>
    <t>В режиме МОИ ДАННЫЕ строки с Источник = ДЕМО не участвуют в расчетах.</t>
  </si>
  <si>
    <t>Наличные</t>
  </si>
  <si>
    <t>Год</t>
  </si>
  <si>
    <t>год</t>
  </si>
  <si>
    <t>Шаблон и правовые параметры собраны для 2026 года.</t>
  </si>
  <si>
    <t>Постоянное поручение</t>
  </si>
  <si>
    <t>Вручную</t>
  </si>
  <si>
    <t>Налоговый режим для מס הכנסה</t>
  </si>
  <si>
    <t>בעל עסק זעיר (30%)</t>
  </si>
  <si>
    <t>Выберите режим, в котором реально зарегистрирован/учитывается бизнес.</t>
  </si>
  <si>
    <t>Чек</t>
  </si>
  <si>
    <t>AI-import</t>
  </si>
  <si>
    <t>Месяцев активности бизнеса в году</t>
  </si>
  <si>
    <t>месяцев</t>
  </si>
  <si>
    <t>Используется только в ориентировочной оценке Битуах Леуми.</t>
  </si>
  <si>
    <t>Другое</t>
  </si>
  <si>
    <t>Годовой доход от зарплаты для расчета налога</t>
  </si>
  <si>
    <t>₪</t>
  </si>
  <si>
    <t>Если есть работа по найму - введите ожидаемый годовой облагаемый доход.</t>
  </si>
  <si>
    <t>Другой годовой облагаемый доход</t>
  </si>
  <si>
    <t>Только если нужно включить его в общую оценку подоходного налога.</t>
  </si>
  <si>
    <t>Налог уже удержан с зарплаты</t>
  </si>
  <si>
    <t>Фактически удержанный/ожидаемый годовой מס הכנסה с зарплаты.</t>
  </si>
  <si>
    <t>נקודות זיכוי - всего</t>
  </si>
  <si>
    <t>точек</t>
  </si>
  <si>
    <t>Демо-значение. Замените на свое число из официального калькулятора Рשות המסים.</t>
  </si>
  <si>
    <t>Прочие годовые налоговые зачеты</t>
  </si>
  <si>
    <t>Необязательное поле, только если сумма уже известна.</t>
  </si>
  <si>
    <t>Пенсия חובה для עצמאי применима</t>
  </si>
  <si>
    <t>Да</t>
  </si>
  <si>
    <t>Для оценки минимального пенсионного взноса. При сочетании с работой по найму расчет может отличаться.</t>
  </si>
  <si>
    <t>Упрощенный чек-лист режима בעל עסק זעיר</t>
  </si>
  <si>
    <t>Условие</t>
  </si>
  <si>
    <t>Ответ</t>
  </si>
  <si>
    <t>Требование для 30%</t>
  </si>
  <si>
    <t>Примечание</t>
  </si>
  <si>
    <t>Есть сотрудники?</t>
  </si>
  <si>
    <t>Нет</t>
  </si>
  <si>
    <t>Наличие сотрудников препятствует применению нормативного вычета 30%.</t>
  </si>
  <si>
    <t>Есть доход от текущего работодателя?</t>
  </si>
  <si>
    <t>Доход от текущего работодателя является ограничением режима.</t>
  </si>
  <si>
    <t>Более 25% бизнес-дохода от близкого родственника или бывшего работодателя за 3 предыдущих налоговых года?</t>
  </si>
  <si>
    <t>Порог 25% - одно из ограничений.</t>
  </si>
  <si>
    <t>Вы контролирующий акционер компании?</t>
  </si>
  <si>
    <t>Контролирующий акционер не подпадает под режим.</t>
  </si>
  <si>
    <t>Ведутся допустимые книги/записи?</t>
  </si>
  <si>
    <t>Полный перечень условий смотрите в официальной процедуре.</t>
  </si>
  <si>
    <t>Итог чек-листа</t>
  </si>
  <si>
    <t>Правовые параметры 2026</t>
  </si>
  <si>
    <t>Источник</t>
  </si>
  <si>
    <t>Комментарий</t>
  </si>
  <si>
    <t>Лимит оборота עוסק פטור</t>
  </si>
  <si>
    <t>₪/год</t>
  </si>
  <si>
    <t>Tax Authority</t>
  </si>
  <si>
    <t>Оборот, не прибыль.</t>
  </si>
  <si>
    <t>Нормативный вычет בעל עסק זעיר</t>
  </si>
  <si>
    <t>% оборота</t>
  </si>
  <si>
    <t>Только при применимости и регистрации режима.</t>
  </si>
  <si>
    <t>Стоимость 1 נקודת זיכוי</t>
  </si>
  <si>
    <t>Ministry of Finance</t>
  </si>
  <si>
    <t>242 ₪ в месяц.</t>
  </si>
  <si>
    <t>БЛ: порог пониженной ставки</t>
  </si>
  <si>
    <t>₪/мес</t>
  </si>
  <si>
    <t>Bituach Leumi</t>
  </si>
  <si>
    <t>60% средней зарплаты.</t>
  </si>
  <si>
    <t>БЛ + здоровье: пониженная ставка</t>
  </si>
  <si>
    <t>%</t>
  </si>
  <si>
    <t>4.47% + 3.23%.</t>
  </si>
  <si>
    <t>БЛ + здоровье: полная ставка</t>
  </si>
  <si>
    <t>12.83% + 5.17%.</t>
  </si>
  <si>
    <t>БЛ: минимальная база</t>
  </si>
  <si>
    <t>Для самозанятого при применимости.</t>
  </si>
  <si>
    <t>БЛ: максимальная база</t>
  </si>
  <si>
    <t>Выше взносы не начисляются.</t>
  </si>
  <si>
    <t>Средняя зарплата для пенсионного расчета</t>
  </si>
  <si>
    <t>Bituach Leumi / MoF</t>
  </si>
  <si>
    <t>2026.</t>
  </si>
  <si>
    <t>Пенсия: граница 1</t>
  </si>
  <si>
    <t>MoF / Kol Zchut</t>
  </si>
  <si>
    <t>50% средней годовой зарплаты.</t>
  </si>
  <si>
    <t>Пенсия: ставка 1</t>
  </si>
  <si>
    <t>MoF</t>
  </si>
  <si>
    <t>До первой границы.</t>
  </si>
  <si>
    <t>Пенсия: граница 2</t>
  </si>
  <si>
    <t>Средняя годовая зарплата.</t>
  </si>
  <si>
    <t>Пенсия: ставка 2</t>
  </si>
  <si>
    <t>Между границей 1 и 2.</t>
  </si>
  <si>
    <t>Шкала מס הכנסה 2026</t>
  </si>
  <si>
    <t>Ступень</t>
  </si>
  <si>
    <t>Нижняя граница</t>
  </si>
  <si>
    <t>Верхняя граница</t>
  </si>
  <si>
    <t>Ставка</t>
  </si>
  <si>
    <t>7</t>
  </si>
  <si>
    <t>47% + 3% additional tax, simplified effective rate</t>
  </si>
  <si>
    <t>Категории операций</t>
  </si>
  <si>
    <t>Категория</t>
  </si>
  <si>
    <t>Тип</t>
  </si>
  <si>
    <t>Группа</t>
  </si>
  <si>
    <t>Бизнес-доля по умолчанию</t>
  </si>
  <si>
    <t>Ключевые слова RU / HE / EN</t>
  </si>
  <si>
    <t>Услуги</t>
  </si>
  <si>
    <t>Выручка</t>
  </si>
  <si>
    <t>услуга; service; שירות</t>
  </si>
  <si>
    <t>Основная выручка от услуг.</t>
  </si>
  <si>
    <t>Абонентское обслуживание</t>
  </si>
  <si>
    <t>абонент; retainer; subscription service; שירות חודשי</t>
  </si>
  <si>
    <t>Регулярная выручка.</t>
  </si>
  <si>
    <t>Продажа товаров / материалов</t>
  </si>
  <si>
    <t>товар; materials sale; מכירה</t>
  </si>
  <si>
    <t>Выручка от продажи.</t>
  </si>
  <si>
    <t>Прочий доход бизнеса</t>
  </si>
  <si>
    <t>прочий доход; other income; הכנסה אחרת</t>
  </si>
  <si>
    <t>Только бизнес-доход.</t>
  </si>
  <si>
    <t>Материалы / расходники</t>
  </si>
  <si>
    <t>Операционные расходы</t>
  </si>
  <si>
    <t>материалы; ציוד מתכלה; supplies; hardware store</t>
  </si>
  <si>
    <t>Прямые расходники и материалы.</t>
  </si>
  <si>
    <t>ПО / подписки</t>
  </si>
  <si>
    <t>software; subscription; zoom; canva; adobe; תוכנה</t>
  </si>
  <si>
    <t>Бизнес-сервисы и подписки.</t>
  </si>
  <si>
    <t>Реклама / маркетинг</t>
  </si>
  <si>
    <t>ads; facebook; google; реклама; פרסום</t>
  </si>
  <si>
    <t>Реклама и продвижение.</t>
  </si>
  <si>
    <t>Банк / комиссии / эквайринг</t>
  </si>
  <si>
    <t>עמלה; commission; fee; סליקה</t>
  </si>
  <si>
    <t>Банковские и платежные комиссии бизнеса.</t>
  </si>
  <si>
    <t>Профессиональные услуги</t>
  </si>
  <si>
    <t>бухгалтер; accountant; יועץ מס; lawyer; עורך דין</t>
  </si>
  <si>
    <t>Бухгалтерия, юридические и другие профессиональные услуги.</t>
  </si>
  <si>
    <t>Страхование бизнеса</t>
  </si>
  <si>
    <t>insurance; ביטוח; страховка</t>
  </si>
  <si>
    <t>Профессиональная/бизнес-страховка.</t>
  </si>
  <si>
    <t>Аренда / коворкинг</t>
  </si>
  <si>
    <t>rent; coworking; שכירות</t>
  </si>
  <si>
    <t>Только помещение, используемое для бизнеса.</t>
  </si>
  <si>
    <t>Доставка / почта</t>
  </si>
  <si>
    <t>delivery; courier; משלוח; דואר</t>
  </si>
  <si>
    <t>Доставка бизнес-товаров/документов.</t>
  </si>
  <si>
    <t>Телефон / интернет</t>
  </si>
  <si>
    <t>Смешанные расходы</t>
  </si>
  <si>
    <t>cellcom; partner; hot; bezeq; phone; internet; טלפון; אינטרנט</t>
  </si>
  <si>
    <t>Смешанное использование - долю не задавать автоматически.</t>
  </si>
  <si>
    <t>Транспорт / автомобиль</t>
  </si>
  <si>
    <t>fuel; gas; petrol; דלק; parking; חניה; taxi; gett</t>
  </si>
  <si>
    <t>Правила признания зависят от вида расхода и использования.</t>
  </si>
  <si>
    <t>Оборудование / активы</t>
  </si>
  <si>
    <t>Сложные расходы</t>
  </si>
  <si>
    <t>equipment; laptop; computer; ציוד; מחשב</t>
  </si>
  <si>
    <t>Может требоваться амортизация/особый учет.</t>
  </si>
  <si>
    <t>Обучение / лицензии</t>
  </si>
  <si>
    <t>course; license; training; קורס; רישיון</t>
  </si>
  <si>
    <t>Признаваемость зависит от характера обучения/лицензии.</t>
  </si>
  <si>
    <t>Прочий бизнес-расход</t>
  </si>
  <si>
    <t>other expense; הוצאה אחרת</t>
  </si>
  <si>
    <t>Нужна понятная связь с бизнесом.</t>
  </si>
  <si>
    <t>Личное / не бизнес</t>
  </si>
  <si>
    <t>Не бизнес</t>
  </si>
  <si>
    <t>personal; פרטי; личное</t>
  </si>
  <si>
    <t>Не включается в бизнес-расходы.</t>
  </si>
  <si>
    <t>Аванс מס הכנסה</t>
  </si>
  <si>
    <t>Налоги и взносы</t>
  </si>
  <si>
    <t>מס הכנסה; מקדמה; income tax</t>
  </si>
  <si>
    <t>Платеж подоходного налога.</t>
  </si>
  <si>
    <t>Битуах Леуми / здоровье</t>
  </si>
  <si>
    <t>ביטוח לאומי; ביטוח בריאות; national insurance</t>
  </si>
  <si>
    <t>Национальное и медицинское страхование.</t>
  </si>
  <si>
    <t>Пенсия</t>
  </si>
  <si>
    <t>פנסיה; pension; קופת גמל</t>
  </si>
  <si>
    <t>Пенсионный взнос.</t>
  </si>
  <si>
    <t>Керен иштальмут</t>
  </si>
  <si>
    <t>קרן השתלמות; keren hishtalmut</t>
  </si>
  <si>
    <t>Отдельный накопительный продукт.</t>
  </si>
  <si>
    <t>Погашение кредитной карты</t>
  </si>
  <si>
    <t>Переводы</t>
  </si>
  <si>
    <t>ישראכרט; max; כאל; credit card payment</t>
  </si>
  <si>
    <t>Не расход: покупки уже есть в выписке карты.</t>
  </si>
  <si>
    <t>Перевод между своими счетами</t>
  </si>
  <si>
    <t>transfer; העברה</t>
  </si>
  <si>
    <t>Не доход и не расход.</t>
  </si>
  <si>
    <t>Снятие наличных</t>
  </si>
  <si>
    <t>כספומט; משיכת מזומן; ATM</t>
  </si>
  <si>
    <t>Не расход, если наличные учитываются отдельно.</t>
  </si>
  <si>
    <t>Операции бизнеса - единый журнал</t>
  </si>
  <si>
    <t>Синие столбцы A-J - ввод/вставка. Серые K-N - формулы. В режиме «МОИ ДАННЫЕ» строки Источник = ДЕМО автоматически не учитываются. После добавления новых строк сортируйте ВЕСЬ диапазон A:N по дате от новых к старым.</t>
  </si>
  <si>
    <t>Дата</t>
  </si>
  <si>
    <t>Контрагент / описание</t>
  </si>
  <si>
    <t>Сумма, ₪</t>
  </si>
  <si>
    <t>Способ оплаты</t>
  </si>
  <si>
    <t>№ документа</t>
  </si>
  <si>
    <t>Месяц №</t>
  </si>
  <si>
    <t>Налогово признаваемая сумма, ₪</t>
  </si>
  <si>
    <t>Проверка</t>
  </si>
  <si>
    <t>Учитывать</t>
  </si>
  <si>
    <t>Погашение бизнес-карты</t>
  </si>
  <si>
    <t>Не расход: покупки учтены отдельно</t>
  </si>
  <si>
    <t>Банк - комиссия</t>
  </si>
  <si>
    <t>E-09-04</t>
  </si>
  <si>
    <t>Учебный пример</t>
  </si>
  <si>
    <t>Клиент C - обслуживание</t>
  </si>
  <si>
    <t>R-2026-027</t>
  </si>
  <si>
    <t>Пенсионный фонд</t>
  </si>
  <si>
    <t>Демо-платеж</t>
  </si>
  <si>
    <t>Материалы</t>
  </si>
  <si>
    <t>E-09-03</t>
  </si>
  <si>
    <t>Клиент B - услуга</t>
  </si>
  <si>
    <t>R-2026-026</t>
  </si>
  <si>
    <t>Битуах Леуми</t>
  </si>
  <si>
    <t>Демо-платеж; фактический размер индивидуален</t>
  </si>
  <si>
    <t>Реклама</t>
  </si>
  <si>
    <t>E-09-02</t>
  </si>
  <si>
    <t>Облачный сервис</t>
  </si>
  <si>
    <t>E-09-01</t>
  </si>
  <si>
    <t>Клиент F - проект</t>
  </si>
  <si>
    <t>R-2026-025</t>
  </si>
  <si>
    <t>Интернет</t>
  </si>
  <si>
    <t>E-08-04</t>
  </si>
  <si>
    <t>R-2026-024</t>
  </si>
  <si>
    <t>E-08-03</t>
  </si>
  <si>
    <t>Канцелярские мелочи за наличные</t>
  </si>
  <si>
    <t>CASH-01</t>
  </si>
  <si>
    <t>Трата из ранее снятых наличных</t>
  </si>
  <si>
    <t>Клиент E - услуга</t>
  </si>
  <si>
    <t>R-2026-023</t>
  </si>
  <si>
    <t>Наличные отслеживаются отдельно</t>
  </si>
  <si>
    <t>Профессиональная услуга</t>
  </si>
  <si>
    <t>E-08-02</t>
  </si>
  <si>
    <t>E-08-01</t>
  </si>
  <si>
    <t>Клиент A - проект</t>
  </si>
  <si>
    <t>R-2026-022</t>
  </si>
  <si>
    <t>Транспорт</t>
  </si>
  <si>
    <t>E-07-04</t>
  </si>
  <si>
    <t>R-2026-021</t>
  </si>
  <si>
    <t>E-07-03</t>
  </si>
  <si>
    <t>R-2026-020</t>
  </si>
  <si>
    <t>E-07-02</t>
  </si>
  <si>
    <t>E-07-01</t>
  </si>
  <si>
    <t>Клиент D - проект</t>
  </si>
  <si>
    <t>R-2026-019</t>
  </si>
  <si>
    <t>Мобильная связь</t>
  </si>
  <si>
    <t>E-06-04</t>
  </si>
  <si>
    <t>R-2026-018</t>
  </si>
  <si>
    <t>Доставка</t>
  </si>
  <si>
    <t>E-06-03</t>
  </si>
  <si>
    <t>Клиент F - услуга</t>
  </si>
  <si>
    <t>R-2026-017</t>
  </si>
  <si>
    <t>E-06-02</t>
  </si>
  <si>
    <t>E-06-01</t>
  </si>
  <si>
    <t>R-2026-016</t>
  </si>
  <si>
    <t>Оборудование</t>
  </si>
  <si>
    <t>E-05-04</t>
  </si>
  <si>
    <t>R-2026-015</t>
  </si>
  <si>
    <t>E-05-03</t>
  </si>
  <si>
    <t>R-2026-014</t>
  </si>
  <si>
    <t>E-05-02</t>
  </si>
  <si>
    <t>E-05-01</t>
  </si>
  <si>
    <t>Клиент B - проект</t>
  </si>
  <si>
    <t>R-2026-013</t>
  </si>
  <si>
    <t>E-04-04</t>
  </si>
  <si>
    <t>R-2026-012</t>
  </si>
  <si>
    <t>E-04-03</t>
  </si>
  <si>
    <t>Клиент D - услуга</t>
  </si>
  <si>
    <t>R-2026-011</t>
  </si>
  <si>
    <t>Коворкинг</t>
  </si>
  <si>
    <t>E-04-02</t>
  </si>
  <si>
    <t>E-04-01</t>
  </si>
  <si>
    <t>R-2026-010</t>
  </si>
  <si>
    <t>E-03-04</t>
  </si>
  <si>
    <t>R-2026-009</t>
  </si>
  <si>
    <t>E-03-03</t>
  </si>
  <si>
    <t>R-2026-008</t>
  </si>
  <si>
    <t>E-03-02</t>
  </si>
  <si>
    <t>E-03-01</t>
  </si>
  <si>
    <t>R-2026-007</t>
  </si>
  <si>
    <t>E-02-04</t>
  </si>
  <si>
    <t>R-2026-006</t>
  </si>
  <si>
    <t>E-02-03</t>
  </si>
  <si>
    <t>R-2026-005</t>
  </si>
  <si>
    <t>E-02-02</t>
  </si>
  <si>
    <t>E-02-01</t>
  </si>
  <si>
    <t>R-2026-004</t>
  </si>
  <si>
    <t>E-01-04</t>
  </si>
  <si>
    <t>R-2026-003</t>
  </si>
  <si>
    <t>E-01-03</t>
  </si>
  <si>
    <t>R-2026-002</t>
  </si>
  <si>
    <t>E-01-02</t>
  </si>
  <si>
    <t>E-01-01</t>
  </si>
  <si>
    <t>R-2026-001</t>
  </si>
  <si>
    <t>Дашборд - эсек патур 2026</t>
  </si>
  <si>
    <t>Все показатели считаются только по строкам «Операции», у которых Учитывать = 1. Переводы исключены. Налоговые блоки - предварительная модель по выбранным настройкам.</t>
  </si>
  <si>
    <t>Оборот за год</t>
  </si>
  <si>
    <t>Использовано лимита</t>
  </si>
  <si>
    <t>Остаток до лимита</t>
  </si>
  <si>
    <t>Опер. расходы</t>
  </si>
  <si>
    <t>Помесячная динамика</t>
  </si>
  <si>
    <t>Месяц</t>
  </si>
  <si>
    <t>Доходы</t>
  </si>
  <si>
    <t>Налоги/взносы</t>
  </si>
  <si>
    <t>Нарастающий оборот</t>
  </si>
  <si>
    <t>Лимит</t>
  </si>
  <si>
    <t>% лимита</t>
  </si>
  <si>
    <t>№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</si>
  <si>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</si>
  <si>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</si>
  <si>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</si>
  <si>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</si>
  <si>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</si>
  <si>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</si>
  <si>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</si>
  <si>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</si>
  <si>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</si>
  <si>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</si>
  <si>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</si>
  <si>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</si>
  <si>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Предварительная налоговая оценка</t>
  </si>
  <si>
    <t>Оборот бизнеса</t>
  </si>
  <si>
    <t>Режим</t>
  </si>
  <si>
    <t>Налогово признаваемые расходы (обычный учет)</t>
  </si>
  <si>
    <t>Чек-лист עסק זעיר</t>
  </si>
  <si>
    <t>Налоговая прибыль бизнеса</t>
  </si>
  <si>
    <t>נקודות זיכוי</t>
  </si>
  <si>
    <t>Общий облагаемый доход для оценки מס הכנסה</t>
  </si>
  <si>
    <t>Пенсия חובה - оценка минимума</t>
  </si>
  <si>
    <t>מס הכנסה по шкале до зачетов</t>
  </si>
  <si>
    <t>Минус נקודות זיכוי и прочие зачеты</t>
  </si>
  <si>
    <t>Оценка годового מס הכנסה после зачетов</t>
  </si>
  <si>
    <t>Уже удержано/уплачено מס הכנסה</t>
  </si>
  <si>
    <t>Битуах Леуми + здоровье - уплачено</t>
  </si>
  <si>
    <t>БЛ + здоровье - ориентировочная годовая оценка*</t>
  </si>
  <si>
    <t>Операционные расходы по категориям</t>
  </si>
  <si>
    <t>Сумма</t>
  </si>
  <si>
    <t>Планировщик оборота - не выйти за лимит עוסק פטור</t>
  </si>
  <si>
    <t>В желтом столбце «Прогноз еще получить» укажите ожидаемую дополнительную выручку в каждом месяце. Прошедшие/текущие факты подтягиваются из «Операции». Переводы и расходы не входят в оборот.</t>
  </si>
  <si>
    <t>Факт доходов</t>
  </si>
  <si>
    <t>Прогноз еще получить</t>
  </si>
  <si>
    <t>Итог месяца</t>
  </si>
  <si>
    <t>Нарастающий прогноз</t>
  </si>
  <si>
    <t>Статус</t>
  </si>
  <si>
    <t>Итог прогноза</t>
  </si>
  <si>
    <t>Факт сейчас</t>
  </si>
  <si>
    <t>Плановая дополнительная выручка</t>
  </si>
  <si>
    <t>Оборот по факту + прогнозу</t>
  </si>
  <si>
    <t>Использование лимита</t>
  </si>
  <si>
    <t>Запас / превышение</t>
  </si>
  <si>
    <t>Правила и официальные источники - Израиль, 2026</t>
  </si>
  <si>
    <t>Проверено по официальным источникам на 22.09.2026. В приоритете действующие тексты законов и официальные параметры 2026 года. Ссылки приведены без tracking/UTM/GPT-параметров.</t>
  </si>
  <si>
    <t>Тема</t>
  </si>
  <si>
    <t>Правило 2026</t>
  </si>
  <si>
    <t>URL</t>
  </si>
  <si>
    <t>Что делает файл</t>
  </si>
  <si>
    <t>עוסק פטור - лимит</t>
  </si>
  <si>
    <t>Годовой оборот для статуса עוסק פטור в 2026 году - не более 122,833 ₪. Это оборот бизнеса, не прибыль.</t>
  </si>
  <si>
    <t>רשות המסים</t>
  </si>
  <si>
    <t>https://www.gov.il/he/service/request-open-exempt-dealer-via-internet</t>
  </si>
  <si>
    <t>Порог используется в Дашборде и Плане лимита.</t>
  </si>
  <si>
    <t>Закон о НДС</t>
  </si>
  <si>
    <t>חוק מס ערך מוסף, התשל״ו-1975 - базовый закон по НДС; база Кнессета показывает действующий текст и поправки.</t>
  </si>
  <si>
    <t>הכנסת</t>
  </si>
  <si>
    <t>https://main.knesset.gov.il/apps/legislation/main/laws/2001068</t>
  </si>
  <si>
    <t>Правовая основа статуса עוסק פטור и правил НДС.</t>
  </si>
  <si>
    <t>Кому нельзя עוסק פטור</t>
  </si>
  <si>
    <t>תקנה 13 к תקנות מס ערך מוסף (רישום), התשל״ו-1976 предусматривает виды деятельности, которые регистрируются как עוסק מורשה независимо от оборота.</t>
  </si>
  <si>
    <t>חקיקת משנה / ביטוח לאומי</t>
  </si>
  <si>
    <t>https://www.btl.gov.il/Laws1/02_0022_100001.pdf</t>
  </si>
  <si>
    <t>Файл не определяет автоматически профессиональную допустимость статуса; это проверяется до использования.</t>
  </si>
  <si>
    <t>עוסק פטור - НДС</t>
  </si>
  <si>
    <t>עוסק פטור не взимает НДС с клиентов и не вычитает входной НДС. Для учета денежного потока расход вносится полной фактически уплаченной суммой.</t>
  </si>
  <si>
    <t>חוק מע״מ / רשות המסים</t>
  </si>
  <si>
    <t>Входной VAT к возмещению не рассчитывается.</t>
  </si>
  <si>
    <t>Годовая декларация עוסק פטור</t>
  </si>
  <si>
    <t>Подается годовая декларация оборота по НДС. Срок и порядок проверяются по официальной странице для соответствующего года.</t>
  </si>
  <si>
    <t>https://www.gov.il/he/service/vat-declarationisexempt</t>
  </si>
  <si>
    <t>Файл хранит годовой оборот для контроля.</t>
  </si>
  <si>
    <t>Ведение книг</t>
  </si>
  <si>
    <t>Правила учета для НДС привязаны к требованиям ведения книг по מס הכנסה; документы и записи должны вестись по применимому приложению/виду деятельности.</t>
  </si>
  <si>
    <t>תקנות מע״מ</t>
  </si>
  <si>
    <t>https://www.btl.gov.il/Laws1/02_0022_100006.pdf</t>
  </si>
  <si>
    <t>Файл помогает вести управленческий журнал, но не заменяет обязательные книги/документы.</t>
  </si>
  <si>
    <t>Официальный справочник по учету</t>
  </si>
  <si>
    <t>Официальное руководство רשות המסים содержит практические требования к книгам учета, документам и срокам хранения.</t>
  </si>
  <si>
    <t>https://www.gov.il/BlobFolder/generalpage/income-tax-guide-knowyourright/he/Guides_IncomeTax_da-2025.pdf</t>
  </si>
  <si>
    <t>Используется как практическое пояснение к нормативным требованиям.</t>
  </si>
  <si>
    <t>Подоходный налог - закон</t>
  </si>
  <si>
    <t>פקודת מס הכנסה [נוסח חדש] - основной действующий нормативный акт по подоходному налогу.</t>
  </si>
  <si>
    <t>https://main.knesset.gov.il/apps/legislation/main/laws/2000944</t>
  </si>
  <si>
    <t>Основа расчета налогооблагаемого дохода, вычетов и режима בעל עסק זעיר.</t>
  </si>
  <si>
    <t>מס הכנסה - шкала 2026</t>
  </si>
  <si>
    <t>Ставки и пороги 2026 берутся из официальной публикации Минфина/налоговой системы.</t>
  </si>
  <si>
    <t>משרד האוצר</t>
  </si>
  <si>
    <t>https://www.gov.il/BlobFolder/reports/press-income-tax-brackets/he/SalaryDataDetails_tax_bracket_2026.pdf</t>
  </si>
  <si>
    <t>Используется в предварительном расчете מס הכנסה.</t>
  </si>
  <si>
    <t>נקודת זיכוי / калькулятор</t>
  </si>
  <si>
    <t>Для контрольной проверки налога используется официальный калькулятор с выбором года и налоговых точек.</t>
  </si>
  <si>
    <t>https://www.gov.il/he/service/income-tax-calculator</t>
  </si>
  <si>
    <t>Контрольная сверка предварительного расчета.</t>
  </si>
  <si>
    <t>בעל עסק זעיר - регистрация</t>
  </si>
  <si>
    <t>עוסק פטור и בעל עסק זעיר - разные режимы. Для בעל עסק זעיר требуется отдельная регистрация/классификация и соблюдение условий.</t>
  </si>
  <si>
    <t>https://www.gov.il/he/service/request-transfer-to-micro-business-owner</t>
  </si>
  <si>
    <t>Режим выбирается отдельно в настройках.</t>
  </si>
  <si>
    <t>בעל עסק זעיר - 30% и ограничения</t>
  </si>
  <si>
    <t>При соблюдении условий облагаемый доход рассчитывается с нормативным вычетом 30% оборота. Ограничения и порядок установлены в פקודת מס הכנסה и процедуре רשות המסים.</t>
  </si>
  <si>
    <t>https://www.gov.il/BlobFolder/policy/income-tax-small-business-owner-24-210725/he/IncomeTax_procedures-210725-1.pdf</t>
  </si>
  <si>
    <t>При выбранном режиме налоговая база моделируется отдельно от фактических расходов.</t>
  </si>
  <si>
    <t>בעל עסק זעיר - отчетность</t>
  </si>
  <si>
    <t>Для признанного בעל עסק זעיר предусмотрена сокращенная годовая отчетность; стандартный срок указан на официальной странице.</t>
  </si>
  <si>
    <t>https://www.gov.il/he/service/report-and-payment-for-micro-business-owner</t>
  </si>
  <si>
    <t>Файл не подает отчет, только готовит учетные данные.</t>
  </si>
  <si>
    <t>בעל עסק זעיר - авансы</t>
  </si>
  <si>
    <t>https://www.gov.il/he/service/request-down-payment-for-micro-business-owner</t>
  </si>
  <si>
    <t>Авансы отражаются как Налог/взнос, а не операционный расход.</t>
  </si>
  <si>
    <t>Битуах Леуми - закон</t>
  </si>
  <si>
    <t>חוק הביטוח הלאומי [נוסח משולב], התשנ״ה-1995 - действующий основной закон.</t>
  </si>
  <si>
    <t>https://main.knesset.gov.il/apps/legislation/main/laws/2000198</t>
  </si>
  <si>
    <t>Правовая основа статуса עצמאי и страховых взносов.</t>
  </si>
  <si>
    <t>Статус עצמאי для БЛ</t>
  </si>
  <si>
    <t>Статус עובד עצמאי для Битуах Леуми зависит от часов деятельности и размера дохода; официальные пороги публикуются ежегодно.</t>
  </si>
  <si>
    <t>ביטוח לאומי</t>
  </si>
  <si>
    <t>https://www.btl.gov.il/Insurance/National%20Insurance/type_list/Self_Employed/Pages/default.aspx</t>
  </si>
  <si>
    <t>Файл не определяет статус автоматически.</t>
  </si>
  <si>
    <t>Битуах Леуми - ставки 2026</t>
  </si>
  <si>
    <t>Для עצמאי до пенсионного возраста официально опубликованы ставки и базы 2026; окончательный расчет зависит от фактических обстоятельств и окончательной оценки дохода.</t>
  </si>
  <si>
    <t>https://www.btl.gov.il/Insurance/National%20Insurance/type_list/Self_Employed/Pages/rates.aspx</t>
  </si>
  <si>
    <t>На дашборде - только предварительная оценка.</t>
  </si>
  <si>
    <t>Битуах Леуми - расчет</t>
  </si>
  <si>
    <t>Официальная страница расчета объясняет расчет базы и взносов для עצמאי.</t>
  </si>
  <si>
    <t>https://www.btl.gov.il/Insurance/National%20Insurance/type_list/Self_Employed/Pages/hishov.dmey.bituach.aspx</t>
  </si>
  <si>
    <t>Используется для контрольной сверки.</t>
  </si>
  <si>
    <t>Средняя зарплата 2026</t>
  </si>
  <si>
    <t>Официально опубликованная средняя зарплата по соответствующим статьям закона на 01.01.2026 используется в ряде расчетов и порогов.</t>
  </si>
  <si>
    <t>https://www.btl.gov.il/Mediniyut/GeneralData/Pages/%D7%A9%D7%9B%D7%A8%20%D7%9E%D7%9E%D7%95%D7%A6%D7%A2.aspx</t>
  </si>
  <si>
    <t>Источник для параметров, зависящих от средней зарплаты.</t>
  </si>
  <si>
    <t>Пенсия חובה עצמאי - закон</t>
  </si>
  <si>
    <t>Обязанность עצמאי делать пенсионные отчисления установлена פרק ב׳ בחוק ההתייעלות הכלכלית 2017-2018. Закон действует.</t>
  </si>
  <si>
    <t>https://main.knesset.gov.il/APPS/legislation/main/laws/2012974</t>
  </si>
  <si>
    <t>Основа расчета обязательного минимального взноса.</t>
  </si>
  <si>
    <t>Пенсия - ставки</t>
  </si>
  <si>
    <t>В тексте нормы установлены ставки 4.45% до половины средней зарплаты и 12.55% на часть от половины до полной средней зарплаты; конкретные суммы меняются вместе с базой.</t>
  </si>
  <si>
    <t>https://fs.knesset.gov.il/20/law/20_lsr_366872.pdf</t>
  </si>
  <si>
    <t>Файл использует ставки закона и базу 2026.</t>
  </si>
  <si>
    <t>Владелец режима может выбрать уплату авансов в течение года через официальный сервис; они учитываются при окончательном расчете.</t>
  </si>
  <si>
    <t>Ошибки/предупреждения</t>
  </si>
  <si>
    <t>Оценка доплаты / переплаты מס הכנסה</t>
  </si>
  <si>
    <t xml:space="preserve">* Оценка Битуах Леуми намеренно упрощена и показывается только если в настройках нет зарплаты. Официальная база может отличаться из-за правил расчета, иных доходов, периода деятельности и окончательной שומה.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</si>
</sst>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₪&quot;;[Red]\(#,##0.00\ &quot;₪&quot;\);\-"/>
    <numFmt numFmtId="165" formatCode="#,##0\ &quot;₪&quot;;[Red]\(#,##0\ &quot;₪&quot;\);\-"/>
    <numFmt numFmtId="166" formatCode="0.0%"/>
    <numFmt numFmtId="167" formatCode="dd\.mm\.yyyy"/>
  </numFmts>
  <fonts count="13" x14ac:knownFonts="1">
    <font>
      <sz val="11"/>
      <color theme="1"/>
      <name val="Calibri"/>
      <family val="2"/>
      <scheme val="minor"/>
    </font>
    <font>
      <b/>
      <sz val="10"/>
      <color rgb="FF14213D"/>
      <name val="Calibri"/>
    </font>
    <font>
      <sz val="10"/>
      <color rgb="FF14213D"/>
      <name val="Calibri"/>
    </font>
    <font>
      <sz val="12"/>
      <color theme="10"/>
      <name val="Calibri"/>
      <family val="2"/>
      <scheme val="minor"/>
    </font>
    <font>
      <b/>
      <sz val="16"/>
      <color rgb="FFFFFFFF"/>
      <name val="Calibri"/>
    </font>
    <font>
      <b/>
      <sz val="10"/>
      <color rgb="FFC62828"/>
      <name val="Calibri"/>
    </font>
    <font>
      <b/>
      <sz val="11"/>
      <color rgb="FFFFFFFF"/>
      <name val="Calibri"/>
    </font>
    <font>
      <b/>
      <sz val="10"/>
      <color rgb="FFFFFFFF"/>
      <name val="Calibri"/>
    </font>
    <font>
      <sz val="10"/>
      <color rgb="FF0000FF"/>
      <name val="Calibri"/>
    </font>
    <font>
      <sz val="10"/>
      <color rgb="FF000000"/>
      <name val="Calibri"/>
    </font>
    <font>
      <sz val="10"/>
      <name val="Calibri"/>
    </font>
    <font>
      <u/>
      <sz val="12"/>
      <color rgb="FF0563C1"/>
      <name val="Calibri"/>
    </font>
    <font>
      <b/>
      <sz val="1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14213D"/>
      </patternFill>
    </fill>
    <fill>
      <patternFill patternType="solid">
        <fgColor rgb="FFFDE9E7"/>
      </patternFill>
    </fill>
    <fill>
      <patternFill patternType="solid">
        <fgColor rgb="FF1F7A6E"/>
      </patternFill>
    </fill>
    <fill>
      <patternFill patternType="solid">
        <fgColor rgb="FFFFF4CE"/>
      </patternFill>
    </fill>
    <fill>
      <patternFill patternType="solid">
        <fgColor rgb="FFE8F5E9"/>
      </patternFill>
    </fill>
    <fill>
      <patternFill patternType="solid">
        <fgColor rgb="FFEAF2F8"/>
      </patternFill>
    </fill>
    <fill>
      <patternFill patternType="solid">
        <fgColor rgb="FFEEE8FA"/>
      </patternFill>
    </fill>
    <fill>
      <patternFill patternType="solid">
        <fgColor rgb="FFF3F4F6"/>
      </patternFill>
    </fill>
    <fill>
      <patternFill patternType="solid">
        <fgColor rgb="FF2F75B5"/>
      </patternFill>
    </fill>
    <fill>
      <patternFill patternType="solid">
        <fgColor rgb="FF6B7280"/>
      </patternFill>
    </fill>
    <fill>
      <patternFill patternType="solid">
        <fgColor rgb="FFFFFFFF"/>
      </patternFill>
    </fill>
    <fill>
      <patternFill patternType="solid">
        <fgColor rgb="FFF4B942"/>
      </patternFill>
    </fill>
    <fill>
      <patternFill patternType="solid">
        <fgColor rgb="FF6F42C1"/>
      </patternFill>
    </fill>
    <fill>
      <patternFill patternType="solid">
        <fgColor rgb="FF2E7D32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0" fillId="0" borderId="0" xfId="0" applyFont="1"/>
    <xf numFmtId="0" fontId="0" fillId="0" borderId="0" xfId="0" applyAlignment="1">
      <alignment vertical="top" wrapText="1"/>
    </xf>
    <xf numFmtId="0" fontId="8" fillId="5" borderId="0" xfId="0" applyFont="1" applyFill="1" applyAlignment="1">
      <alignment vertical="top" wrapText="1"/>
    </xf>
    <xf numFmtId="164" fontId="8" fillId="5" borderId="0" xfId="0" applyNumberFormat="1" applyFont="1" applyFill="1" applyAlignment="1">
      <alignment vertical="top" wrapText="1"/>
    </xf>
    <xf numFmtId="2" fontId="8" fillId="5" borderId="0" xfId="0" applyNumberFormat="1" applyFont="1" applyFill="1" applyAlignment="1">
      <alignment vertical="top" wrapText="1"/>
    </xf>
    <xf numFmtId="0" fontId="0" fillId="0" borderId="0" xfId="0" applyAlignment="1">
      <alignment wrapText="1"/>
    </xf>
    <xf numFmtId="165" fontId="10" fillId="0" borderId="0" xfId="0" applyNumberFormat="1" applyFont="1"/>
    <xf numFmtId="166" fontId="10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6" borderId="0" xfId="0" applyFill="1"/>
    <xf numFmtId="0" fontId="0" fillId="6" borderId="0" xfId="0" applyFill="1" applyAlignment="1">
      <alignment vertical="top" wrapText="1"/>
    </xf>
    <xf numFmtId="0" fontId="0" fillId="7" borderId="0" xfId="0" applyFill="1"/>
    <xf numFmtId="166" fontId="0" fillId="7" borderId="0" xfId="0" applyNumberFormat="1" applyFill="1"/>
    <xf numFmtId="0" fontId="0" fillId="7" borderId="0" xfId="0" applyFill="1" applyAlignment="1">
      <alignment vertical="top" wrapText="1"/>
    </xf>
    <xf numFmtId="0" fontId="0" fillId="8" borderId="0" xfId="0" applyFill="1"/>
    <xf numFmtId="0" fontId="0" fillId="8" borderId="0" xfId="0" applyFill="1" applyAlignment="1">
      <alignment vertical="top" wrapText="1"/>
    </xf>
    <xf numFmtId="0" fontId="0" fillId="9" borderId="0" xfId="0" applyFill="1"/>
    <xf numFmtId="0" fontId="0" fillId="9" borderId="0" xfId="0" applyFill="1" applyAlignment="1">
      <alignment vertical="top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167" fontId="8" fillId="12" borderId="0" xfId="0" applyNumberFormat="1" applyFont="1" applyFill="1" applyAlignment="1">
      <alignment vertical="top" wrapText="1"/>
    </xf>
    <xf numFmtId="0" fontId="8" fillId="12" borderId="0" xfId="0" applyFont="1" applyFill="1" applyAlignment="1">
      <alignment vertical="top" wrapText="1"/>
    </xf>
    <xf numFmtId="164" fontId="8" fillId="12" borderId="0" xfId="0" applyNumberFormat="1" applyFont="1" applyFill="1" applyAlignment="1">
      <alignment vertical="top" wrapText="1"/>
    </xf>
    <xf numFmtId="166" fontId="8" fillId="12" borderId="0" xfId="0" applyNumberFormat="1" applyFont="1" applyFill="1" applyAlignment="1">
      <alignment vertical="top" wrapText="1"/>
    </xf>
    <xf numFmtId="0" fontId="9" fillId="9" borderId="0" xfId="0" applyFont="1" applyFill="1" applyAlignment="1">
      <alignment vertical="top" wrapText="1"/>
    </xf>
    <xf numFmtId="164" fontId="9" fillId="9" borderId="0" xfId="0" applyNumberFormat="1" applyFont="1" applyFill="1" applyAlignment="1">
      <alignment vertical="top" wrapText="1"/>
    </xf>
    <xf numFmtId="164" fontId="0" fillId="0" borderId="0" xfId="0" applyNumberFormat="1"/>
    <xf numFmtId="2" fontId="0" fillId="0" borderId="0" xfId="0" applyNumberFormat="1"/>
    <xf numFmtId="164" fontId="10" fillId="0" borderId="0" xfId="0" applyNumberFormat="1" applyFont="1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0" fillId="0" borderId="0" xfId="0"/>
    <xf numFmtId="0" fontId="0" fillId="0" borderId="0" xfId="0" applyAlignment="1">
      <alignment vertical="top" wrapText="1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0" fillId="0" borderId="0" xfId="0" applyFont="1" applyAlignment="1">
      <alignment wrapText="1"/>
    </xf>
    <xf numFmtId="0" fontId="9" fillId="6" borderId="0" xfId="0" applyFont="1" applyFill="1" applyAlignment="1">
      <alignment vertical="top" wrapText="1"/>
    </xf>
    <xf numFmtId="0" fontId="10" fillId="4" borderId="0" xfId="0" applyFont="1" applyFill="1" applyAlignment="1">
      <alignment horizontal="center"/>
    </xf>
    <xf numFmtId="0" fontId="10" fillId="14" borderId="0" xfId="0" applyFont="1" applyFill="1" applyAlignment="1">
      <alignment horizontal="center"/>
    </xf>
    <xf numFmtId="0" fontId="10" fillId="13" borderId="0" xfId="0" applyFont="1" applyFill="1" applyAlignment="1">
      <alignment horizontal="center"/>
    </xf>
    <xf numFmtId="0" fontId="10" fillId="15" borderId="0" xfId="0" applyFont="1" applyFill="1" applyAlignment="1">
      <alignment horizontal="center"/>
    </xf>
    <xf numFmtId="166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10" borderId="0" xfId="0" applyFont="1" applyFill="1" applyAlignment="1">
      <alignment horizontal="center"/>
    </xf>
    <xf numFmtId="0" fontId="12" fillId="5" borderId="0" xfId="0" applyFont="1" applyFill="1" applyAlignment="1">
      <alignment vertical="top" wrapText="1"/>
    </xf>
  </cellXfs>
  <cellStyles count="2">
    <cellStyle name="Hyperlink" xfId="1" builtinId="8"/>
    <cellStyle name="Normal" xfId="0" builtinId="0"/>
  </cellStyles>
  <dxfs count="18">
    <dxf>
      <font>
        <b/>
        <color rgb="FFE67E22"/>
      </font>
      <fill>
        <patternFill patternType="solid">
          <fgColor rgb="FFFCE8D5"/>
        </patternFill>
      </fill>
    </dxf>
    <dxf>
      <font>
        <b/>
        <color rgb="FFC62828"/>
      </font>
      <fill>
        <patternFill patternType="solid">
          <fgColor rgb="FFFDE9E7"/>
        </patternFill>
      </fill>
    </dxf>
    <dxf>
      <font>
        <b/>
        <color rgb="FFC62828"/>
      </font>
      <fill>
        <patternFill patternType="solid">
          <fgColor rgb="FFFDE9E7"/>
        </patternFill>
      </fill>
    </dxf>
    <dxf>
      <font>
        <b/>
        <color rgb="FFFFFFFF"/>
      </font>
      <fill>
        <patternFill patternType="solid">
          <fgColor rgb="FFE67E22"/>
        </patternFill>
      </fill>
    </dxf>
    <dxf>
      <font>
        <b/>
        <color rgb="FFFFFFFF"/>
      </font>
      <fill>
        <patternFill patternType="solid">
          <fgColor rgb="FFC62828"/>
        </patternFill>
      </fill>
    </dxf>
    <dxf>
      <font>
        <b/>
        <color rgb="FFC62828"/>
      </font>
      <fill>
        <patternFill patternType="solid">
          <fgColor rgb="FFFDE9E7"/>
        </patternFill>
      </fill>
    </dxf>
    <dxf>
      <fill>
        <patternFill patternType="solid">
          <fgColor rgb="FFF5F0FA"/>
        </patternFill>
      </fill>
    </dxf>
    <dxf>
      <fill>
        <patternFill patternType="solid">
          <fgColor rgb="FFEFF8F4"/>
        </patternFill>
      </fill>
    </dxf>
    <dxf>
      <fill>
        <patternFill patternType="solid">
          <fgColor rgb="FFF7F3EE"/>
        </patternFill>
      </fill>
    </dxf>
    <dxf>
      <fill>
        <patternFill patternType="solid">
          <fgColor rgb="FFF1F4FF"/>
        </patternFill>
      </fill>
    </dxf>
    <dxf>
      <fill>
        <patternFill patternType="solid">
          <fgColor rgb="FFFFF3F3"/>
        </patternFill>
      </fill>
    </dxf>
    <dxf>
      <fill>
        <patternFill patternType="solid">
          <fgColor rgb="FFF6F9EE"/>
        </patternFill>
      </fill>
    </dxf>
    <dxf>
      <fill>
        <patternFill patternType="solid">
          <fgColor rgb="FFEEF7FB"/>
        </patternFill>
      </fill>
    </dxf>
    <dxf>
      <fill>
        <patternFill patternType="solid">
          <fgColor rgb="FFF7F7F7"/>
        </patternFill>
      </fill>
    </dxf>
    <dxf>
      <fill>
        <patternFill patternType="solid">
          <fgColor rgb="FFFAF3FF"/>
        </patternFill>
      </fill>
    </dxf>
    <dxf>
      <fill>
        <patternFill patternType="solid">
          <fgColor rgb="FFFFF9EE"/>
        </patternFill>
      </fill>
    </dxf>
    <dxf>
      <fill>
        <patternFill patternType="solid">
          <fgColor rgb="FFF3FAF7"/>
        </patternFill>
      </fill>
    </dxf>
    <dxf>
      <fill>
        <patternFill patternType="solid">
          <fgColor rgb="FFF8FB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ru-RU"/>
              <a:t>Доходы и операционные расходы по месяцам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Дашборд!$B$11</c:f>
              <c:strCache>
                <c:ptCount val="1"/>
                <c:pt idx="0">
                  <c:v>Доходы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Дашборд!$A$12:$A$23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Дашборд!$B$12:$B$23</c:f>
              <c:numCache>
                <c:formatCode>#,##0.00\ "₪";[Red]\(#,##0.00\ "₪"\);\-</c:formatCode>
                <c:ptCount val="12"/>
                <c:pt idx="0">
                  <c:v>8400</c:v>
                </c:pt>
                <c:pt idx="1">
                  <c:v>9100</c:v>
                </c:pt>
                <c:pt idx="2">
                  <c:v>9500</c:v>
                </c:pt>
                <c:pt idx="3">
                  <c:v>8800</c:v>
                </c:pt>
                <c:pt idx="4">
                  <c:v>10200</c:v>
                </c:pt>
                <c:pt idx="5">
                  <c:v>9700</c:v>
                </c:pt>
                <c:pt idx="6">
                  <c:v>9000</c:v>
                </c:pt>
                <c:pt idx="7">
                  <c:v>9600</c:v>
                </c:pt>
                <c:pt idx="8">
                  <c:v>8900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D1-4880-9DDD-CA0EB7E12913}"/>
            </c:ext>
          </c:extLst>
        </c:ser>
        <c:ser>
          <c:idx val="1"/>
          <c:order val="1"/>
          <c:tx>
            <c:strRef>
              <c:f>Дашборд!$C$11</c:f>
              <c:strCache>
                <c:ptCount val="1"/>
                <c:pt idx="0">
                  <c:v>Опер. расходы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Дашборд!$A$12:$A$23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Дашборд!$C$12:$C$23</c:f>
              <c:numCache>
                <c:formatCode>#,##0.00\ "₪";[Red]\(#,##0.00\ "₪"\);\-</c:formatCode>
                <c:ptCount val="12"/>
                <c:pt idx="0">
                  <c:v>1440</c:v>
                </c:pt>
                <c:pt idx="1">
                  <c:v>1790</c:v>
                </c:pt>
                <c:pt idx="2">
                  <c:v>1580</c:v>
                </c:pt>
                <c:pt idx="3">
                  <c:v>1485</c:v>
                </c:pt>
                <c:pt idx="4">
                  <c:v>2500</c:v>
                </c:pt>
                <c:pt idx="5">
                  <c:v>1200</c:v>
                </c:pt>
                <c:pt idx="6">
                  <c:v>1890</c:v>
                </c:pt>
                <c:pt idx="7">
                  <c:v>1810</c:v>
                </c:pt>
                <c:pt idx="8">
                  <c:v>1325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D1-4880-9DDD-CA0EB7E12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Месяц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L"/>
                  <a:t>₪</a:t>
                </a:r>
              </a:p>
            </c:rich>
          </c:tx>
          <c:overlay val="1"/>
        </c:title>
        <c:numFmt formatCode="#,##0.00\ &quot;₪&quot;;[Red]\(#,##0.00\ &quot;₪&quot;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ru-RU"/>
              <a:t>Нарастающий оборот и лимит </a:t>
            </a:r>
            <a:r>
              <a:rPr lang="he-IL"/>
              <a:t>עוסק פטור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Дашборд!$F$11</c:f>
              <c:strCache>
                <c:ptCount val="1"/>
                <c:pt idx="0">
                  <c:v>Нарастающий оборот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Дашборд!$A$12:$A$23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Дашборд!$F$12:$F$23</c:f>
              <c:numCache>
                <c:formatCode>#,##0.00\ "₪";[Red]\(#,##0.00\ "₪"\);\-</c:formatCode>
                <c:ptCount val="12"/>
                <c:pt idx="0">
                  <c:v>8400</c:v>
                </c:pt>
                <c:pt idx="1">
                  <c:v>17500</c:v>
                </c:pt>
                <c:pt idx="2">
                  <c:v>27000</c:v>
                </c:pt>
                <c:pt idx="3">
                  <c:v>35800</c:v>
                </c:pt>
                <c:pt idx="4">
                  <c:v>46000</c:v>
                </c:pt>
                <c:pt idx="5">
                  <c:v>55700</c:v>
                </c:pt>
                <c:pt idx="6">
                  <c:v>64700</c:v>
                </c:pt>
                <c:pt idx="7">
                  <c:v>74300</c:v>
                </c:pt>
                <c:pt idx="8">
                  <c:v>83200</c:v>
                </c:pt>
                <c:pt idx="9">
                  <c:v>83200</c:v>
                </c:pt>
                <c:pt idx="10">
                  <c:v>83200</c:v>
                </c:pt>
                <c:pt idx="11">
                  <c:v>83200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AC5-48C9-9A79-99A0A8CCFB90}"/>
            </c:ext>
          </c:extLst>
        </c:ser>
        <c:ser>
          <c:idx val="1"/>
          <c:order val="1"/>
          <c:tx>
            <c:strRef>
              <c:f>Дашборд!$G$11</c:f>
              <c:strCache>
                <c:ptCount val="1"/>
                <c:pt idx="0">
                  <c:v>Лимит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Дашборд!$A$12:$A$23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Дашборд!$G$12:$G$23</c:f>
              <c:numCache>
                <c:formatCode>#,##0.00\ "₪";[Red]\(#,##0.00\ "₪"\);\-</c:formatCode>
                <c:ptCount val="12"/>
                <c:pt idx="0">
                  <c:v>122833</c:v>
                </c:pt>
                <c:pt idx="1">
                  <c:v>122833</c:v>
                </c:pt>
                <c:pt idx="2">
                  <c:v>122833</c:v>
                </c:pt>
                <c:pt idx="3">
                  <c:v>122833</c:v>
                </c:pt>
                <c:pt idx="4">
                  <c:v>122833</c:v>
                </c:pt>
                <c:pt idx="5">
                  <c:v>122833</c:v>
                </c:pt>
                <c:pt idx="6">
                  <c:v>122833</c:v>
                </c:pt>
                <c:pt idx="7">
                  <c:v>122833</c:v>
                </c:pt>
                <c:pt idx="8">
                  <c:v>122833</c:v>
                </c:pt>
                <c:pt idx="9">
                  <c:v>122833</c:v>
                </c:pt>
                <c:pt idx="10">
                  <c:v>122833</c:v>
                </c:pt>
                <c:pt idx="11">
                  <c:v>122833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AC5-48C9-9A79-99A0A8CCFB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L"/>
                  <a:t>₪</a:t>
                </a:r>
              </a:p>
            </c:rich>
          </c:tx>
          <c:overlay val="1"/>
        </c:title>
        <c:numFmt formatCode="#,##0.00\ &quot;₪&quot;;[Red]\(#,##0.00\ &quot;₪&quot;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ru-RU"/>
              <a:t>Расходы по категориям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Дашборд!$B$55</c:f>
              <c:strCache>
                <c:ptCount val="1"/>
                <c:pt idx="0">
                  <c:v>Сумма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Дашборд!$A$56:$A$68</c:f>
              <c:strCache>
                <c:ptCount val="13"/>
                <c:pt idx="0">
                  <c:v>Материалы / расходники</c:v>
                </c:pt>
                <c:pt idx="1">
                  <c:v>ПО / подписки</c:v>
                </c:pt>
                <c:pt idx="2">
                  <c:v>Реклама / маркетинг</c:v>
                </c:pt>
                <c:pt idx="3">
                  <c:v>Банк / комиссии / эквайринг</c:v>
                </c:pt>
                <c:pt idx="4">
                  <c:v>Профессиональные услуги</c:v>
                </c:pt>
                <c:pt idx="5">
                  <c:v>Страхование бизнеса</c:v>
                </c:pt>
                <c:pt idx="6">
                  <c:v>Аренда / коворкинг</c:v>
                </c:pt>
                <c:pt idx="7">
                  <c:v>Доставка / почта</c:v>
                </c:pt>
                <c:pt idx="8">
                  <c:v>Телефон / интернет</c:v>
                </c:pt>
                <c:pt idx="9">
                  <c:v>Транспорт / автомобиль</c:v>
                </c:pt>
                <c:pt idx="10">
                  <c:v>Оборудование / активы</c:v>
                </c:pt>
                <c:pt idx="11">
                  <c:v>Обучение / лицензии</c:v>
                </c:pt>
                <c:pt idx="12">
                  <c:v>Прочий бизнес-расход</c:v>
                </c:pt>
              </c:strCache>
            </c:strRef>
          </c:cat>
          <c:val>
            <c:numRef>
              <c:f>Дашборд!$B$56:$B$68</c:f>
              <c:numCache>
                <c:formatCode>#,##0.00\ "₪";[Red]\(#,##0.00\ "₪"\);\-</c:formatCode>
                <c:ptCount val="13"/>
                <c:pt idx="0">
                  <c:v>6030</c:v>
                </c:pt>
                <c:pt idx="1">
                  <c:v>1980</c:v>
                </c:pt>
                <c:pt idx="2">
                  <c:v>2560</c:v>
                </c:pt>
                <c:pt idx="3">
                  <c:v>190</c:v>
                </c:pt>
                <c:pt idx="4">
                  <c:v>1150</c:v>
                </c:pt>
                <c:pt idx="5">
                  <c:v>0</c:v>
                </c:pt>
                <c:pt idx="6">
                  <c:v>650</c:v>
                </c:pt>
                <c:pt idx="7">
                  <c:v>160</c:v>
                </c:pt>
                <c:pt idx="8">
                  <c:v>740</c:v>
                </c:pt>
                <c:pt idx="9">
                  <c:v>590</c:v>
                </c:pt>
                <c:pt idx="10">
                  <c:v>850</c:v>
                </c:pt>
                <c:pt idx="11">
                  <c:v>0</c:v>
                </c:pt>
                <c:pt idx="12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F0-49E2-9E7E-CA27EA514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numFmt formatCode="#,##0.00\ &quot;₪&quot;;[Red]\(#,##0.00\ &quot;₪&quot;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ru-RU"/>
              <a:t>Нарастающий оборот: факт + прогноз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План_лимита!$E$4</c:f>
              <c:strCache>
                <c:ptCount val="1"/>
                <c:pt idx="0">
                  <c:v>Нарастающий прогноз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План_лимита!$A$5:$A$16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План_лимита!$E$5:$E$16</c:f>
              <c:numCache>
                <c:formatCode>#,##0.00\ "₪";[Red]\(#,##0.00\ "₪"\);\-</c:formatCode>
                <c:ptCount val="12"/>
                <c:pt idx="0">
                  <c:v>8400</c:v>
                </c:pt>
                <c:pt idx="1">
                  <c:v>17500</c:v>
                </c:pt>
                <c:pt idx="2">
                  <c:v>27000</c:v>
                </c:pt>
                <c:pt idx="3">
                  <c:v>35800</c:v>
                </c:pt>
                <c:pt idx="4">
                  <c:v>46000</c:v>
                </c:pt>
                <c:pt idx="5">
                  <c:v>55700</c:v>
                </c:pt>
                <c:pt idx="6">
                  <c:v>64700</c:v>
                </c:pt>
                <c:pt idx="7">
                  <c:v>74300</c:v>
                </c:pt>
                <c:pt idx="8">
                  <c:v>85700</c:v>
                </c:pt>
                <c:pt idx="9">
                  <c:v>96700</c:v>
                </c:pt>
                <c:pt idx="10">
                  <c:v>107700</c:v>
                </c:pt>
                <c:pt idx="11">
                  <c:v>118700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94A-4F69-9A22-7DB0453AEF06}"/>
            </c:ext>
          </c:extLst>
        </c:ser>
        <c:ser>
          <c:idx val="1"/>
          <c:order val="1"/>
          <c:tx>
            <c:strRef>
              <c:f>План_лимита!$I$4</c:f>
              <c:strCache>
                <c:ptCount val="1"/>
                <c:pt idx="0">
                  <c:v>Лимит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План_лимита!$I$5:$I$16</c:f>
            </c:numRef>
          </c:val>
          <c:smooth val="1"/>
          <c:extLst>
            <c:ext xmlns:c16="http://schemas.microsoft.com/office/drawing/2014/chart" uri="{C3380CC4-5D6E-409C-BE32-E72D297353CC}">
              <c16:uniqueId val="{00000001-D94A-4F69-9A22-7DB0453AE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.00\ &quot;₪&quot;;[Red]\(#,##0.00\ &quot;₪&quot;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24</xdr:row>
      <xdr:rowOff>0</xdr:rowOff>
    </xdr:from>
    <xdr:ext cx="432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0</xdr:colOff>
      <xdr:row>53</xdr:row>
      <xdr:rowOff>0</xdr:rowOff>
    </xdr:from>
    <xdr:ext cx="4680000" cy="288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17</xdr:row>
      <xdr:rowOff>0</xdr:rowOff>
    </xdr:from>
    <xdr:ext cx="468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2433D33-A9B7-4647-9678-4EBC0102E70F}">
  <we:reference id="wa200010215" version="2.0.0.1" store="en-GB" storeType="OMEX"/>
  <we:alternateReferences>
    <we:reference id="WA200010215" version="2.0.0.1" store="" storeType="OMEX"/>
  </we:alternateReferences>
  <we:properties>
    <we:property name="bps.codex_control.document_id" value="&quot;a4de8720-6be0-4fb4-a425-0d0b0939dc5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il/BlobFolder/reports/press-income-tax-brackets/he/SalaryDataDetails_tax_bracket_2026.pdf" TargetMode="External"/><Relationship Id="rId13" Type="http://schemas.openxmlformats.org/officeDocument/2006/relationships/hyperlink" Target="https://www.gov.il/he/service/request-down-payment-for-micro-business-owner" TargetMode="External"/><Relationship Id="rId18" Type="http://schemas.openxmlformats.org/officeDocument/2006/relationships/hyperlink" Target="https://www.btl.gov.il/Mediniyut/GeneralData/Pages/%D7%A9%D7%9B%D7%A8%20%D7%9E%D7%9E%D7%95%D7%A6%D7%A2.aspx" TargetMode="External"/><Relationship Id="rId3" Type="http://schemas.openxmlformats.org/officeDocument/2006/relationships/hyperlink" Target="https://www.btl.gov.il/Laws1/02_0022_100006.pdf" TargetMode="External"/><Relationship Id="rId7" Type="http://schemas.openxmlformats.org/officeDocument/2006/relationships/hyperlink" Target="https://main.knesset.gov.il/apps/legislation/main/laws/2000944" TargetMode="External"/><Relationship Id="rId12" Type="http://schemas.openxmlformats.org/officeDocument/2006/relationships/hyperlink" Target="https://www.gov.il/he/service/report-and-payment-for-micro-business-owner" TargetMode="External"/><Relationship Id="rId17" Type="http://schemas.openxmlformats.org/officeDocument/2006/relationships/hyperlink" Target="https://www.btl.gov.il/Insurance/National%20Insurance/type_list/Self_Employed/Pages/hishov.dmey.bituach.aspx" TargetMode="External"/><Relationship Id="rId2" Type="http://schemas.openxmlformats.org/officeDocument/2006/relationships/hyperlink" Target="https://www.btl.gov.il/Laws1/02_0022_100001.pdf" TargetMode="External"/><Relationship Id="rId16" Type="http://schemas.openxmlformats.org/officeDocument/2006/relationships/hyperlink" Target="https://www.btl.gov.il/Insurance/National%20Insurance/type_list/Self_Employed/Pages/rates.aspx" TargetMode="External"/><Relationship Id="rId20" Type="http://schemas.openxmlformats.org/officeDocument/2006/relationships/hyperlink" Target="https://fs.knesset.gov.il/20/law/20_lsr_366872.pdf" TargetMode="External"/><Relationship Id="rId1" Type="http://schemas.openxmlformats.org/officeDocument/2006/relationships/hyperlink" Target="https://main.knesset.gov.il/apps/legislation/main/laws/2001068" TargetMode="External"/><Relationship Id="rId6" Type="http://schemas.openxmlformats.org/officeDocument/2006/relationships/hyperlink" Target="https://www.gov.il/BlobFolder/generalpage/income-tax-guide-knowyourright/he/Guides_IncomeTax_da-2025.pdf" TargetMode="External"/><Relationship Id="rId11" Type="http://schemas.openxmlformats.org/officeDocument/2006/relationships/hyperlink" Target="https://www.gov.il/BlobFolder/policy/income-tax-small-business-owner-24-210725/he/IncomeTax_procedures-210725-1.pdf" TargetMode="External"/><Relationship Id="rId5" Type="http://schemas.openxmlformats.org/officeDocument/2006/relationships/hyperlink" Target="https://www.gov.il/he/service/vat-declarationisexempt" TargetMode="External"/><Relationship Id="rId15" Type="http://schemas.openxmlformats.org/officeDocument/2006/relationships/hyperlink" Target="https://www.btl.gov.il/Insurance/National%20Insurance/type_list/Self_Employed/Pages/default.aspx" TargetMode="External"/><Relationship Id="rId10" Type="http://schemas.openxmlformats.org/officeDocument/2006/relationships/hyperlink" Target="https://www.gov.il/he/service/request-transfer-to-micro-business-owner" TargetMode="External"/><Relationship Id="rId19" Type="http://schemas.openxmlformats.org/officeDocument/2006/relationships/hyperlink" Target="https://main.knesset.gov.il/APPS/legislation/main/laws/2012974" TargetMode="External"/><Relationship Id="rId4" Type="http://schemas.openxmlformats.org/officeDocument/2006/relationships/hyperlink" Target="https://www.gov.il/he/service/request-open-exempt-dealer-via-internet" TargetMode="External"/><Relationship Id="rId9" Type="http://schemas.openxmlformats.org/officeDocument/2006/relationships/hyperlink" Target="https://www.gov.il/he/service/income-tax-calculator" TargetMode="External"/><Relationship Id="rId14" Type="http://schemas.openxmlformats.org/officeDocument/2006/relationships/hyperlink" Target="https://main.knesset.gov.il/apps/legislation/main/laws/2000198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main.knesset.gov.il/apps/legislation/main/laws/2000944" TargetMode="External"/><Relationship Id="rId13" Type="http://schemas.openxmlformats.org/officeDocument/2006/relationships/hyperlink" Target="https://www.gov.il/he/service/report-and-payment-for-micro-business-owner" TargetMode="External"/><Relationship Id="rId18" Type="http://schemas.openxmlformats.org/officeDocument/2006/relationships/hyperlink" Target="https://www.btl.gov.il/Insurance/National%20Insurance/type_list/Self_Employed/Pages/hishov.dmey.bituach.aspx" TargetMode="External"/><Relationship Id="rId3" Type="http://schemas.openxmlformats.org/officeDocument/2006/relationships/hyperlink" Target="https://www.btl.gov.il/Laws1/02_0022_100001.pdf" TargetMode="External"/><Relationship Id="rId21" Type="http://schemas.openxmlformats.org/officeDocument/2006/relationships/hyperlink" Target="https://fs.knesset.gov.il/20/law/20_lsr_366872.pdf" TargetMode="External"/><Relationship Id="rId7" Type="http://schemas.openxmlformats.org/officeDocument/2006/relationships/hyperlink" Target="https://www.gov.il/BlobFolder/generalpage/income-tax-guide-knowyourright/he/Guides_IncomeTax_da-2025.pdf" TargetMode="External"/><Relationship Id="rId12" Type="http://schemas.openxmlformats.org/officeDocument/2006/relationships/hyperlink" Target="https://www.gov.il/BlobFolder/policy/income-tax-small-business-owner-24-210725/he/IncomeTax_procedures-210725-1.pdf" TargetMode="External"/><Relationship Id="rId17" Type="http://schemas.openxmlformats.org/officeDocument/2006/relationships/hyperlink" Target="https://www.btl.gov.il/Insurance/National%20Insurance/type_list/Self_Employed/Pages/rates.aspx" TargetMode="External"/><Relationship Id="rId2" Type="http://schemas.openxmlformats.org/officeDocument/2006/relationships/hyperlink" Target="https://main.knesset.gov.il/apps/legislation/main/laws/2001068" TargetMode="External"/><Relationship Id="rId16" Type="http://schemas.openxmlformats.org/officeDocument/2006/relationships/hyperlink" Target="https://www.btl.gov.il/Insurance/National%20Insurance/type_list/Self_Employed/Pages/default.aspx" TargetMode="External"/><Relationship Id="rId20" Type="http://schemas.openxmlformats.org/officeDocument/2006/relationships/hyperlink" Target="https://main.knesset.gov.il/APPS/legislation/main/laws/2012974" TargetMode="External"/><Relationship Id="rId1" Type="http://schemas.openxmlformats.org/officeDocument/2006/relationships/hyperlink" Target="https://www.gov.il/he/service/request-open-exempt-dealer-via-internet" TargetMode="External"/><Relationship Id="rId6" Type="http://schemas.openxmlformats.org/officeDocument/2006/relationships/hyperlink" Target="https://www.btl.gov.il/Laws1/02_0022_100006.pdf" TargetMode="External"/><Relationship Id="rId11" Type="http://schemas.openxmlformats.org/officeDocument/2006/relationships/hyperlink" Target="https://www.gov.il/he/service/request-transfer-to-micro-business-owner" TargetMode="External"/><Relationship Id="rId5" Type="http://schemas.openxmlformats.org/officeDocument/2006/relationships/hyperlink" Target="https://www.gov.il/he/service/vat-declarationisexempt" TargetMode="External"/><Relationship Id="rId15" Type="http://schemas.openxmlformats.org/officeDocument/2006/relationships/hyperlink" Target="https://main.knesset.gov.il/apps/legislation/main/laws/2000198" TargetMode="External"/><Relationship Id="rId10" Type="http://schemas.openxmlformats.org/officeDocument/2006/relationships/hyperlink" Target="https://www.gov.il/he/service/income-tax-calculator" TargetMode="External"/><Relationship Id="rId19" Type="http://schemas.openxmlformats.org/officeDocument/2006/relationships/hyperlink" Target="https://www.btl.gov.il/Mediniyut/GeneralData/Pages/%D7%A9%D7%9B%D7%A8%20%D7%9E%D7%9E%D7%95%D7%A6%D7%A2.aspx" TargetMode="External"/><Relationship Id="rId4" Type="http://schemas.openxmlformats.org/officeDocument/2006/relationships/hyperlink" Target="https://main.knesset.gov.il/apps/legislation/main/laws/2001068" TargetMode="External"/><Relationship Id="rId9" Type="http://schemas.openxmlformats.org/officeDocument/2006/relationships/hyperlink" Target="https://www.gov.il/BlobFolder/reports/press-income-tax-brackets/he/SalaryDataDetails_tax_bracket_2026.pdf" TargetMode="External"/><Relationship Id="rId14" Type="http://schemas.openxmlformats.org/officeDocument/2006/relationships/hyperlink" Target="https://www.gov.il/he/service/request-down-payment-for-micro-business-ow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83"/>
  <sheetViews>
    <sheetView showGridLines="0" tabSelected="1" workbookViewId="0">
      <selection activeCell="A14" sqref="A14"/>
    </sheetView>
  </sheetViews>
  <sheetFormatPr defaultRowHeight="15" x14ac:dyDescent="0.25"/>
  <cols>
    <col min="1" max="1" width="150.140625" customWidth="1"/>
  </cols>
  <sheetData>
    <row r="1" spans="1:1" ht="18" customHeight="1" x14ac:dyDescent="0.25">
      <c r="A1" s="1" t="s">
        <v>0</v>
      </c>
    </row>
    <row r="2" spans="1:1" ht="33.75" customHeight="1" x14ac:dyDescent="0.25">
      <c r="A2" s="2" t="s">
        <v>1</v>
      </c>
    </row>
    <row r="3" spans="1:1" ht="15.75" customHeight="1" x14ac:dyDescent="0.25">
      <c r="A3" s="2"/>
    </row>
    <row r="4" spans="1:1" ht="18" customHeight="1" x14ac:dyDescent="0.25">
      <c r="A4" s="1" t="s">
        <v>2</v>
      </c>
    </row>
    <row r="5" spans="1:1" ht="18" customHeight="1" x14ac:dyDescent="0.25">
      <c r="A5" s="2" t="s">
        <v>3</v>
      </c>
    </row>
    <row r="6" spans="1:1" ht="18" customHeight="1" x14ac:dyDescent="0.25">
      <c r="A6" s="2" t="s">
        <v>4</v>
      </c>
    </row>
    <row r="7" spans="1:1" ht="18" customHeight="1" x14ac:dyDescent="0.25">
      <c r="A7" s="2" t="s">
        <v>5</v>
      </c>
    </row>
    <row r="8" spans="1:1" ht="8.1" customHeight="1" x14ac:dyDescent="0.25">
      <c r="A8" s="2"/>
    </row>
    <row r="9" spans="1:1" ht="18" customHeight="1" x14ac:dyDescent="0.25">
      <c r="A9" s="1" t="s">
        <v>6</v>
      </c>
    </row>
    <row r="10" spans="1:1" ht="18" customHeight="1" x14ac:dyDescent="0.25">
      <c r="A10" s="2" t="s">
        <v>7</v>
      </c>
    </row>
    <row r="11" spans="1:1" ht="18" customHeight="1" x14ac:dyDescent="0.25">
      <c r="A11" s="2" t="s">
        <v>8</v>
      </c>
    </row>
    <row r="12" spans="1:1" ht="18" customHeight="1" x14ac:dyDescent="0.25">
      <c r="A12" s="2" t="s">
        <v>9</v>
      </c>
    </row>
    <row r="13" spans="1:1" ht="18" customHeight="1" x14ac:dyDescent="0.25">
      <c r="A13" s="2" t="s">
        <v>10</v>
      </c>
    </row>
    <row r="14" spans="1:1" ht="18" customHeight="1" x14ac:dyDescent="0.25">
      <c r="A14" s="2" t="s">
        <v>11</v>
      </c>
    </row>
    <row r="15" spans="1:1" ht="8.1" customHeight="1" x14ac:dyDescent="0.25">
      <c r="A15" s="2" t="s">
        <v>12</v>
      </c>
    </row>
    <row r="16" spans="1:1" ht="18" customHeight="1" x14ac:dyDescent="0.25">
      <c r="A16" s="2"/>
    </row>
    <row r="17" spans="1:1" ht="18" customHeight="1" x14ac:dyDescent="0.25">
      <c r="A17" s="1" t="s">
        <v>13</v>
      </c>
    </row>
    <row r="18" spans="1:1" ht="18" customHeight="1" x14ac:dyDescent="0.25">
      <c r="A18" s="2" t="s">
        <v>14</v>
      </c>
    </row>
    <row r="19" spans="1:1" ht="18" customHeight="1" x14ac:dyDescent="0.25">
      <c r="A19" s="2" t="s">
        <v>15</v>
      </c>
    </row>
    <row r="20" spans="1:1" ht="18" customHeight="1" x14ac:dyDescent="0.25">
      <c r="A20" s="2" t="s">
        <v>16</v>
      </c>
    </row>
    <row r="21" spans="1:1" ht="8.1" customHeight="1" x14ac:dyDescent="0.25">
      <c r="A21" s="2" t="s">
        <v>17</v>
      </c>
    </row>
    <row r="22" spans="1:1" ht="18" customHeight="1" x14ac:dyDescent="0.25">
      <c r="A22" s="2"/>
    </row>
    <row r="23" spans="1:1" ht="18" customHeight="1" x14ac:dyDescent="0.25">
      <c r="A23" s="1" t="s">
        <v>18</v>
      </c>
    </row>
    <row r="24" spans="1:1" ht="18" customHeight="1" x14ac:dyDescent="0.25">
      <c r="A24" s="2" t="s">
        <v>19</v>
      </c>
    </row>
    <row r="25" spans="1:1" ht="18" customHeight="1" x14ac:dyDescent="0.25">
      <c r="A25" s="2" t="s">
        <v>20</v>
      </c>
    </row>
    <row r="26" spans="1:1" ht="18" customHeight="1" x14ac:dyDescent="0.25">
      <c r="A26" s="2" t="s">
        <v>21</v>
      </c>
    </row>
    <row r="27" spans="1:1" ht="18" customHeight="1" x14ac:dyDescent="0.25">
      <c r="A27" s="2" t="s">
        <v>22</v>
      </c>
    </row>
    <row r="28" spans="1:1" ht="18" customHeight="1" x14ac:dyDescent="0.25">
      <c r="A28" s="2" t="s">
        <v>23</v>
      </c>
    </row>
    <row r="29" spans="1:1" ht="18" customHeight="1" x14ac:dyDescent="0.25">
      <c r="A29" s="2" t="s">
        <v>24</v>
      </c>
    </row>
    <row r="30" spans="1:1" ht="18" customHeight="1" x14ac:dyDescent="0.25">
      <c r="A30" s="2" t="s">
        <v>25</v>
      </c>
    </row>
    <row r="31" spans="1:1" ht="18" customHeight="1" x14ac:dyDescent="0.25">
      <c r="A31" s="2" t="s">
        <v>26</v>
      </c>
    </row>
    <row r="32" spans="1:1" ht="18" customHeight="1" x14ac:dyDescent="0.25">
      <c r="A32" s="2" t="s">
        <v>27</v>
      </c>
    </row>
    <row r="33" spans="1:1" ht="18" customHeight="1" x14ac:dyDescent="0.25">
      <c r="A33" s="2" t="s">
        <v>28</v>
      </c>
    </row>
    <row r="34" spans="1:1" ht="8.1" customHeight="1" x14ac:dyDescent="0.25">
      <c r="A34" s="2" t="s">
        <v>29</v>
      </c>
    </row>
    <row r="35" spans="1:1" ht="18" customHeight="1" x14ac:dyDescent="0.25">
      <c r="A35" s="2"/>
    </row>
    <row r="36" spans="1:1" ht="18" customHeight="1" x14ac:dyDescent="0.25">
      <c r="A36" s="1" t="s">
        <v>30</v>
      </c>
    </row>
    <row r="37" spans="1:1" ht="18" customHeight="1" x14ac:dyDescent="0.25">
      <c r="A37" s="2" t="s">
        <v>31</v>
      </c>
    </row>
    <row r="38" spans="1:1" ht="8.1" customHeight="1" x14ac:dyDescent="0.25">
      <c r="A38" s="2" t="s">
        <v>32</v>
      </c>
    </row>
    <row r="39" spans="1:1" ht="18" customHeight="1" x14ac:dyDescent="0.25">
      <c r="A39" s="2"/>
    </row>
    <row r="40" spans="1:1" ht="18" customHeight="1" x14ac:dyDescent="0.25">
      <c r="A40" s="1" t="s">
        <v>33</v>
      </c>
    </row>
    <row r="41" spans="1:1" ht="18" customHeight="1" x14ac:dyDescent="0.25">
      <c r="A41" s="2" t="s">
        <v>34</v>
      </c>
    </row>
    <row r="42" spans="1:1" ht="18" customHeight="1" x14ac:dyDescent="0.25">
      <c r="A42" s="2" t="s">
        <v>35</v>
      </c>
    </row>
    <row r="43" spans="1:1" ht="18" customHeight="1" x14ac:dyDescent="0.25">
      <c r="A43" s="2" t="s">
        <v>36</v>
      </c>
    </row>
    <row r="44" spans="1:1" ht="18" customHeight="1" x14ac:dyDescent="0.25">
      <c r="A44" s="2" t="s">
        <v>37</v>
      </c>
    </row>
    <row r="45" spans="1:1" ht="8.1" customHeight="1" x14ac:dyDescent="0.25">
      <c r="A45" s="2" t="s">
        <v>38</v>
      </c>
    </row>
    <row r="46" spans="1:1" ht="18" customHeight="1" x14ac:dyDescent="0.25">
      <c r="A46" s="2"/>
    </row>
    <row r="47" spans="1:1" ht="8.1" customHeight="1" x14ac:dyDescent="0.25">
      <c r="A47" s="2" t="s">
        <v>39</v>
      </c>
    </row>
    <row r="48" spans="1:1" ht="18" customHeight="1" x14ac:dyDescent="0.25">
      <c r="A48" s="2"/>
    </row>
    <row r="49" spans="1:1" ht="8.1" customHeight="1" x14ac:dyDescent="0.25">
      <c r="A49" s="2" t="s">
        <v>40</v>
      </c>
    </row>
    <row r="50" spans="1:1" ht="18" customHeight="1" x14ac:dyDescent="0.25">
      <c r="A50" s="2"/>
    </row>
    <row r="51" spans="1:1" ht="8.1" customHeight="1" x14ac:dyDescent="0.25">
      <c r="A51" s="2" t="s">
        <v>41</v>
      </c>
    </row>
    <row r="52" spans="1:1" ht="18" customHeight="1" x14ac:dyDescent="0.25">
      <c r="A52" s="2"/>
    </row>
    <row r="53" spans="1:1" ht="18" customHeight="1" x14ac:dyDescent="0.25">
      <c r="A53" s="1" t="s">
        <v>42</v>
      </c>
    </row>
    <row r="54" spans="1:1" ht="8.1" customHeight="1" x14ac:dyDescent="0.25">
      <c r="A54" s="2" t="s">
        <v>43</v>
      </c>
    </row>
    <row r="55" spans="1:1" ht="18" customHeight="1" x14ac:dyDescent="0.25">
      <c r="A55" s="2"/>
    </row>
    <row r="56" spans="1:1" ht="18" customHeight="1" x14ac:dyDescent="0.25">
      <c r="A56" s="1" t="s">
        <v>44</v>
      </c>
    </row>
    <row r="57" spans="1:1" ht="30" customHeight="1" x14ac:dyDescent="0.25">
      <c r="A57" s="35" t="s">
        <v>45</v>
      </c>
    </row>
    <row r="58" spans="1:1" ht="30" customHeight="1" x14ac:dyDescent="0.25">
      <c r="A58" s="35" t="s">
        <v>46</v>
      </c>
    </row>
    <row r="59" spans="1:1" ht="30" customHeight="1" x14ac:dyDescent="0.25">
      <c r="A59" s="35" t="s">
        <v>47</v>
      </c>
    </row>
    <row r="60" spans="1:1" ht="30" customHeight="1" x14ac:dyDescent="0.25">
      <c r="A60" s="35" t="s">
        <v>48</v>
      </c>
    </row>
    <row r="61" spans="1:1" ht="18" customHeight="1" x14ac:dyDescent="0.25">
      <c r="A61" s="36" t="s">
        <v>49</v>
      </c>
    </row>
    <row r="62" spans="1:1" ht="30" customHeight="1" x14ac:dyDescent="0.25">
      <c r="A62" s="35" t="s">
        <v>50</v>
      </c>
    </row>
    <row r="63" spans="1:1" ht="30" customHeight="1" x14ac:dyDescent="0.25">
      <c r="A63" s="35" t="s">
        <v>51</v>
      </c>
    </row>
    <row r="64" spans="1:1" ht="30" customHeight="1" x14ac:dyDescent="0.25">
      <c r="A64" s="35" t="s">
        <v>52</v>
      </c>
    </row>
    <row r="65" spans="1:1" ht="30" customHeight="1" x14ac:dyDescent="0.25">
      <c r="A65" s="35" t="s">
        <v>53</v>
      </c>
    </row>
    <row r="66" spans="1:1" ht="30" customHeight="1" x14ac:dyDescent="0.25">
      <c r="A66" s="35" t="s">
        <v>54</v>
      </c>
    </row>
    <row r="67" spans="1:1" ht="30" customHeight="1" x14ac:dyDescent="0.25">
      <c r="A67" s="35" t="s">
        <v>55</v>
      </c>
    </row>
    <row r="68" spans="1:1" ht="30" customHeight="1" x14ac:dyDescent="0.25">
      <c r="A68" s="35" t="s">
        <v>56</v>
      </c>
    </row>
    <row r="69" spans="1:1" ht="30" customHeight="1" x14ac:dyDescent="0.25">
      <c r="A69" s="35" t="s">
        <v>57</v>
      </c>
    </row>
    <row r="70" spans="1:1" ht="30" customHeight="1" x14ac:dyDescent="0.25">
      <c r="A70" s="35" t="s">
        <v>58</v>
      </c>
    </row>
    <row r="71" spans="1:1" ht="30" customHeight="1" x14ac:dyDescent="0.25">
      <c r="A71" s="35" t="s">
        <v>59</v>
      </c>
    </row>
    <row r="72" spans="1:1" ht="30" customHeight="1" x14ac:dyDescent="0.25">
      <c r="A72" s="35" t="s">
        <v>60</v>
      </c>
    </row>
    <row r="73" spans="1:1" ht="30" customHeight="1" x14ac:dyDescent="0.25">
      <c r="A73" s="35" t="s">
        <v>61</v>
      </c>
    </row>
    <row r="74" spans="1:1" ht="30" customHeight="1" x14ac:dyDescent="0.25">
      <c r="A74" s="35" t="s">
        <v>62</v>
      </c>
    </row>
    <row r="75" spans="1:1" ht="30" customHeight="1" x14ac:dyDescent="0.25">
      <c r="A75" s="35" t="s">
        <v>63</v>
      </c>
    </row>
    <row r="76" spans="1:1" ht="30" customHeight="1" x14ac:dyDescent="0.25">
      <c r="A76" s="35" t="s">
        <v>64</v>
      </c>
    </row>
    <row r="77" spans="1:1" ht="30" customHeight="1" x14ac:dyDescent="0.25">
      <c r="A77" s="35" t="s">
        <v>65</v>
      </c>
    </row>
    <row r="78" spans="1:1" ht="30" customHeight="1" x14ac:dyDescent="0.25">
      <c r="A78" s="35" t="s">
        <v>66</v>
      </c>
    </row>
    <row r="79" spans="1:1" ht="30" customHeight="1" x14ac:dyDescent="0.25">
      <c r="A79" s="35" t="s">
        <v>67</v>
      </c>
    </row>
    <row r="80" spans="1:1" ht="30" customHeight="1" x14ac:dyDescent="0.25">
      <c r="A80" s="35" t="s">
        <v>68</v>
      </c>
    </row>
    <row r="81" spans="1:1" ht="30" customHeight="1" x14ac:dyDescent="0.25">
      <c r="A81" s="35" t="s">
        <v>69</v>
      </c>
    </row>
    <row r="82" spans="1:1" ht="8.1" customHeight="1" x14ac:dyDescent="0.25"/>
    <row r="83" spans="1:1" ht="30" customHeight="1" x14ac:dyDescent="0.25">
      <c r="A83" s="35" t="s">
        <v>70</v>
      </c>
    </row>
  </sheetData>
  <hyperlinks>
    <hyperlink ref="A62" r:id="rId1" xr:uid="{00000000-0004-0000-0000-000000000000}"/>
    <hyperlink ref="A63" r:id="rId2" xr:uid="{00000000-0004-0000-0000-000001000000}"/>
    <hyperlink ref="A64" r:id="rId3" xr:uid="{00000000-0004-0000-0000-000002000000}"/>
    <hyperlink ref="A65" r:id="rId4" xr:uid="{00000000-0004-0000-0000-000003000000}"/>
    <hyperlink ref="A66" r:id="rId5" xr:uid="{00000000-0004-0000-0000-000004000000}"/>
    <hyperlink ref="A67" r:id="rId6" xr:uid="{00000000-0004-0000-0000-000005000000}"/>
    <hyperlink ref="A68" r:id="rId7" xr:uid="{00000000-0004-0000-0000-000006000000}"/>
    <hyperlink ref="A69" r:id="rId8" xr:uid="{00000000-0004-0000-0000-000007000000}"/>
    <hyperlink ref="A70" r:id="rId9" xr:uid="{00000000-0004-0000-0000-000008000000}"/>
    <hyperlink ref="A71" r:id="rId10" xr:uid="{00000000-0004-0000-0000-000009000000}"/>
    <hyperlink ref="A72" r:id="rId11" xr:uid="{00000000-0004-0000-0000-00000A000000}"/>
    <hyperlink ref="A73" r:id="rId12" xr:uid="{00000000-0004-0000-0000-00000B000000}"/>
    <hyperlink ref="A74" r:id="rId13" xr:uid="{00000000-0004-0000-0000-00000C000000}"/>
    <hyperlink ref="A75" r:id="rId14" xr:uid="{00000000-0004-0000-0000-00000D000000}"/>
    <hyperlink ref="A76" r:id="rId15" xr:uid="{00000000-0004-0000-0000-00000E000000}"/>
    <hyperlink ref="A77" r:id="rId16" xr:uid="{00000000-0004-0000-0000-00000F000000}"/>
    <hyperlink ref="A78" r:id="rId17" xr:uid="{00000000-0004-0000-0000-000010000000}"/>
    <hyperlink ref="A79" r:id="rId18" xr:uid="{00000000-0004-0000-0000-000011000000}"/>
    <hyperlink ref="A80" r:id="rId19" xr:uid="{00000000-0004-0000-0000-000012000000}"/>
    <hyperlink ref="A81" r:id="rId20" xr:uid="{00000000-0004-0000-0000-000013000000}"/>
  </hyperlinks>
  <pageMargins left="0.75" right="0.75" top="1" bottom="1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7"/>
  <sheetViews>
    <sheetView showGridLines="0" workbookViewId="0">
      <pane ySplit="4" topLeftCell="A5" activePane="bottomLeft" state="frozen"/>
      <selection pane="bottomLeft" sqref="A1:F1"/>
    </sheetView>
  </sheetViews>
  <sheetFormatPr defaultRowHeight="15" x14ac:dyDescent="0.25"/>
  <cols>
    <col min="1" max="1" width="18" customWidth="1"/>
    <col min="2" max="2" width="28" customWidth="1"/>
    <col min="3" max="3" width="82" customWidth="1"/>
    <col min="4" max="6" width="16" customWidth="1"/>
  </cols>
  <sheetData>
    <row r="1" spans="1:6" ht="27.95" customHeight="1" x14ac:dyDescent="0.25">
      <c r="A1" s="43" t="s">
        <v>71</v>
      </c>
      <c r="B1" s="40"/>
      <c r="C1" s="40"/>
      <c r="D1" s="40"/>
      <c r="E1" s="40"/>
      <c r="F1" s="40"/>
    </row>
    <row r="2" spans="1:6" x14ac:dyDescent="0.25">
      <c r="A2" s="39" t="s">
        <v>72</v>
      </c>
      <c r="B2" s="40"/>
      <c r="C2" s="40"/>
      <c r="D2" s="40"/>
      <c r="E2" s="40"/>
      <c r="F2" s="40"/>
    </row>
    <row r="3" spans="1:6" x14ac:dyDescent="0.25">
      <c r="A3" s="40"/>
      <c r="B3" s="40"/>
      <c r="C3" s="40"/>
      <c r="D3" s="40"/>
      <c r="E3" s="40"/>
      <c r="F3" s="40"/>
    </row>
    <row r="5" spans="1:6" ht="21.95" customHeight="1" x14ac:dyDescent="0.25">
      <c r="A5" s="42" t="s">
        <v>73</v>
      </c>
      <c r="B5" s="40"/>
      <c r="C5" s="40"/>
      <c r="D5" s="40"/>
      <c r="E5" s="40"/>
      <c r="F5" s="40"/>
    </row>
    <row r="6" spans="1:6" ht="27.95" customHeight="1" x14ac:dyDescent="0.25">
      <c r="A6" s="3" t="s">
        <v>74</v>
      </c>
      <c r="B6" s="3" t="s">
        <v>75</v>
      </c>
      <c r="C6" s="3" t="s">
        <v>76</v>
      </c>
    </row>
    <row r="7" spans="1:6" ht="42" customHeight="1" x14ac:dyDescent="0.25">
      <c r="A7" s="4" t="s">
        <v>77</v>
      </c>
      <c r="B7" s="4" t="s">
        <v>78</v>
      </c>
      <c r="C7" s="4" t="s">
        <v>79</v>
      </c>
    </row>
    <row r="8" spans="1:6" ht="42" customHeight="1" x14ac:dyDescent="0.25">
      <c r="A8" s="4" t="s">
        <v>80</v>
      </c>
      <c r="B8" s="4" t="s">
        <v>78</v>
      </c>
      <c r="C8" s="4" t="s">
        <v>81</v>
      </c>
    </row>
    <row r="9" spans="1:6" ht="42" customHeight="1" x14ac:dyDescent="0.25">
      <c r="A9" s="4" t="s">
        <v>82</v>
      </c>
      <c r="B9" s="4" t="s">
        <v>83</v>
      </c>
      <c r="C9" s="4" t="s">
        <v>84</v>
      </c>
    </row>
    <row r="10" spans="1:6" ht="42" customHeight="1" x14ac:dyDescent="0.25">
      <c r="A10" s="4" t="s">
        <v>85</v>
      </c>
      <c r="B10" s="4" t="s">
        <v>86</v>
      </c>
      <c r="C10" s="4" t="s">
        <v>87</v>
      </c>
    </row>
    <row r="11" spans="1:6" ht="42" customHeight="1" x14ac:dyDescent="0.25">
      <c r="A11" s="4" t="s">
        <v>88</v>
      </c>
      <c r="B11" s="4" t="s">
        <v>89</v>
      </c>
      <c r="C11" s="4" t="s">
        <v>90</v>
      </c>
    </row>
    <row r="12" spans="1:6" ht="42" customHeight="1" x14ac:dyDescent="0.25">
      <c r="A12" s="4" t="s">
        <v>91</v>
      </c>
      <c r="B12" s="4" t="s">
        <v>92</v>
      </c>
      <c r="C12" s="4" t="s">
        <v>93</v>
      </c>
    </row>
    <row r="14" spans="1:6" ht="21.95" customHeight="1" x14ac:dyDescent="0.25">
      <c r="A14" s="42" t="s">
        <v>94</v>
      </c>
      <c r="B14" s="40"/>
      <c r="C14" s="40"/>
      <c r="D14" s="40"/>
      <c r="E14" s="40"/>
      <c r="F14" s="40"/>
    </row>
    <row r="15" spans="1:6" ht="27.95" customHeight="1" x14ac:dyDescent="0.25">
      <c r="A15" s="3" t="s">
        <v>95</v>
      </c>
      <c r="B15" s="3" t="s">
        <v>96</v>
      </c>
    </row>
    <row r="16" spans="1:6" ht="45.95" customHeight="1" x14ac:dyDescent="0.25">
      <c r="A16" s="5" t="s">
        <v>97</v>
      </c>
      <c r="B16" s="6" t="s">
        <v>98</v>
      </c>
    </row>
    <row r="17" spans="1:6" ht="45.95" customHeight="1" x14ac:dyDescent="0.25">
      <c r="A17" s="5" t="s">
        <v>99</v>
      </c>
      <c r="B17" s="6" t="s">
        <v>100</v>
      </c>
    </row>
    <row r="18" spans="1:6" ht="45.95" customHeight="1" x14ac:dyDescent="0.25">
      <c r="A18" s="5" t="s">
        <v>101</v>
      </c>
      <c r="B18" s="6" t="s">
        <v>102</v>
      </c>
    </row>
    <row r="19" spans="1:6" ht="45.95" customHeight="1" x14ac:dyDescent="0.25">
      <c r="A19" s="5" t="s">
        <v>103</v>
      </c>
      <c r="B19" s="6" t="s">
        <v>104</v>
      </c>
    </row>
    <row r="20" spans="1:6" ht="45.95" customHeight="1" x14ac:dyDescent="0.25">
      <c r="A20" s="5" t="s">
        <v>105</v>
      </c>
      <c r="B20" s="6" t="s">
        <v>106</v>
      </c>
    </row>
    <row r="22" spans="1:6" ht="21.95" customHeight="1" x14ac:dyDescent="0.25">
      <c r="A22" s="42" t="s">
        <v>107</v>
      </c>
      <c r="B22" s="40"/>
      <c r="C22" s="40"/>
      <c r="D22" s="40"/>
      <c r="E22" s="40"/>
      <c r="F22" s="40"/>
    </row>
    <row r="23" spans="1:6" ht="27.95" customHeight="1" x14ac:dyDescent="0.25">
      <c r="A23" s="3" t="s">
        <v>108</v>
      </c>
      <c r="B23" s="3" t="s">
        <v>109</v>
      </c>
    </row>
    <row r="24" spans="1:6" ht="42" customHeight="1" x14ac:dyDescent="0.25">
      <c r="A24" s="5" t="s">
        <v>110</v>
      </c>
      <c r="B24" s="6" t="s">
        <v>111</v>
      </c>
    </row>
    <row r="25" spans="1:6" ht="42" customHeight="1" x14ac:dyDescent="0.25">
      <c r="A25" s="5" t="s">
        <v>112</v>
      </c>
      <c r="B25" s="6" t="s">
        <v>113</v>
      </c>
    </row>
    <row r="26" spans="1:6" ht="42" customHeight="1" x14ac:dyDescent="0.25">
      <c r="A26" s="5" t="s">
        <v>114</v>
      </c>
      <c r="B26" s="6" t="s">
        <v>115</v>
      </c>
    </row>
    <row r="27" spans="1:6" ht="42" customHeight="1" x14ac:dyDescent="0.25">
      <c r="A27" s="5" t="s">
        <v>116</v>
      </c>
      <c r="B27" s="6" t="s">
        <v>117</v>
      </c>
    </row>
    <row r="28" spans="1:6" ht="42" customHeight="1" x14ac:dyDescent="0.25">
      <c r="A28" s="5" t="s">
        <v>118</v>
      </c>
      <c r="B28" s="6" t="s">
        <v>119</v>
      </c>
    </row>
    <row r="29" spans="1:6" ht="42" customHeight="1" x14ac:dyDescent="0.25">
      <c r="A29" s="5" t="s">
        <v>120</v>
      </c>
      <c r="B29" s="6" t="s">
        <v>121</v>
      </c>
    </row>
    <row r="31" spans="1:6" ht="21.95" customHeight="1" x14ac:dyDescent="0.25">
      <c r="A31" s="42" t="s">
        <v>122</v>
      </c>
      <c r="B31" s="40"/>
      <c r="C31" s="40"/>
      <c r="D31" s="40"/>
      <c r="E31" s="40"/>
      <c r="F31" s="40"/>
    </row>
    <row r="32" spans="1:6" ht="30" customHeight="1" x14ac:dyDescent="0.25">
      <c r="A32" t="s">
        <v>123</v>
      </c>
      <c r="B32" s="41" t="s">
        <v>124</v>
      </c>
      <c r="C32" s="40"/>
      <c r="D32" s="40"/>
      <c r="E32" s="40"/>
      <c r="F32" s="40"/>
    </row>
    <row r="33" spans="1:6" ht="30" customHeight="1" x14ac:dyDescent="0.25">
      <c r="A33" t="s">
        <v>123</v>
      </c>
      <c r="B33" s="41" t="s">
        <v>125</v>
      </c>
      <c r="C33" s="40"/>
      <c r="D33" s="40"/>
      <c r="E33" s="40"/>
      <c r="F33" s="40"/>
    </row>
    <row r="34" spans="1:6" ht="30" customHeight="1" x14ac:dyDescent="0.25">
      <c r="A34" t="s">
        <v>123</v>
      </c>
      <c r="B34" s="41" t="s">
        <v>126</v>
      </c>
      <c r="C34" s="40"/>
      <c r="D34" s="40"/>
      <c r="E34" s="40"/>
      <c r="F34" s="40"/>
    </row>
    <row r="35" spans="1:6" ht="30" customHeight="1" x14ac:dyDescent="0.25">
      <c r="A35" t="s">
        <v>123</v>
      </c>
      <c r="B35" s="41" t="s">
        <v>127</v>
      </c>
      <c r="C35" s="40"/>
      <c r="D35" s="40"/>
      <c r="E35" s="40"/>
      <c r="F35" s="40"/>
    </row>
    <row r="36" spans="1:6" ht="30" customHeight="1" x14ac:dyDescent="0.25">
      <c r="A36" t="s">
        <v>123</v>
      </c>
      <c r="B36" s="41" t="s">
        <v>128</v>
      </c>
      <c r="C36" s="40"/>
      <c r="D36" s="40"/>
      <c r="E36" s="40"/>
      <c r="F36" s="40"/>
    </row>
    <row r="37" spans="1:6" ht="30" customHeight="1" x14ac:dyDescent="0.25">
      <c r="A37" t="s">
        <v>123</v>
      </c>
      <c r="B37" s="41" t="s">
        <v>129</v>
      </c>
      <c r="C37" s="40"/>
      <c r="D37" s="40"/>
      <c r="E37" s="40"/>
      <c r="F37" s="40"/>
    </row>
  </sheetData>
  <mergeCells count="12">
    <mergeCell ref="B37:F37"/>
    <mergeCell ref="A22:F22"/>
    <mergeCell ref="B36:F36"/>
    <mergeCell ref="B32:F32"/>
    <mergeCell ref="B35:F35"/>
    <mergeCell ref="A2:F3"/>
    <mergeCell ref="B34:F34"/>
    <mergeCell ref="A14:F14"/>
    <mergeCell ref="B33:F33"/>
    <mergeCell ref="A1:F1"/>
    <mergeCell ref="A5:F5"/>
    <mergeCell ref="A31:F31"/>
  </mergeCells>
  <pageMargins left="0.75" right="0.75" top="1" bottom="1" header="0.5" footer="0.5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2"/>
  <sheetViews>
    <sheetView showGridLines="0" workbookViewId="0">
      <pane ySplit="3" topLeftCell="A21" activePane="bottomLeft" state="frozen"/>
      <selection pane="bottomLeft" activeCell="K33" sqref="K33"/>
    </sheetView>
  </sheetViews>
  <sheetFormatPr defaultRowHeight="15" x14ac:dyDescent="0.25"/>
  <cols>
    <col min="1" max="1" width="44" customWidth="1"/>
    <col min="2" max="2" width="28" customWidth="1"/>
    <col min="3" max="3" width="14" customWidth="1"/>
    <col min="4" max="4" width="26" customWidth="1"/>
    <col min="5" max="5" width="54" customWidth="1"/>
    <col min="6" max="6" width="12" customWidth="1"/>
    <col min="8" max="10" width="13" hidden="1" customWidth="1"/>
  </cols>
  <sheetData>
    <row r="1" spans="1:10" ht="27.95" customHeight="1" x14ac:dyDescent="0.25">
      <c r="A1" s="43" t="s">
        <v>130</v>
      </c>
      <c r="B1" s="40"/>
      <c r="C1" s="40"/>
      <c r="D1" s="40"/>
      <c r="E1" s="40"/>
      <c r="F1" s="40"/>
      <c r="H1" t="s">
        <v>131</v>
      </c>
      <c r="I1" t="s">
        <v>132</v>
      </c>
      <c r="J1" t="s">
        <v>133</v>
      </c>
    </row>
    <row r="2" spans="1:10" x14ac:dyDescent="0.25">
      <c r="A2" s="44" t="s">
        <v>134</v>
      </c>
      <c r="B2" s="40"/>
      <c r="C2" s="40"/>
      <c r="D2" s="40"/>
      <c r="E2" s="40"/>
      <c r="F2" s="40"/>
      <c r="H2" t="s">
        <v>110</v>
      </c>
      <c r="I2" t="s">
        <v>135</v>
      </c>
      <c r="J2" t="s">
        <v>136</v>
      </c>
    </row>
    <row r="3" spans="1:10" x14ac:dyDescent="0.25">
      <c r="H3" t="s">
        <v>112</v>
      </c>
      <c r="I3" t="s">
        <v>137</v>
      </c>
      <c r="J3" t="s">
        <v>138</v>
      </c>
    </row>
    <row r="4" spans="1:10" ht="21.95" customHeight="1" x14ac:dyDescent="0.25">
      <c r="A4" s="42" t="s">
        <v>139</v>
      </c>
      <c r="B4" s="40"/>
      <c r="C4" s="40"/>
      <c r="D4" s="40"/>
      <c r="H4" t="s">
        <v>114</v>
      </c>
      <c r="I4" t="s">
        <v>140</v>
      </c>
      <c r="J4" t="s">
        <v>141</v>
      </c>
    </row>
    <row r="5" spans="1:10" ht="27.95" customHeight="1" x14ac:dyDescent="0.25">
      <c r="A5" s="3" t="s">
        <v>142</v>
      </c>
      <c r="B5" s="3" t="s">
        <v>143</v>
      </c>
      <c r="C5" s="3" t="s">
        <v>144</v>
      </c>
      <c r="D5" s="3" t="s">
        <v>145</v>
      </c>
      <c r="H5" t="s">
        <v>116</v>
      </c>
      <c r="I5" t="s">
        <v>146</v>
      </c>
      <c r="J5" t="s">
        <v>147</v>
      </c>
    </row>
    <row r="6" spans="1:10" ht="36" customHeight="1" x14ac:dyDescent="0.25">
      <c r="A6" t="s">
        <v>148</v>
      </c>
      <c r="B6" s="7" t="s">
        <v>136</v>
      </c>
      <c r="C6" t="s">
        <v>149</v>
      </c>
      <c r="D6" s="6" t="s">
        <v>150</v>
      </c>
      <c r="I6" t="s">
        <v>151</v>
      </c>
      <c r="J6" t="s">
        <v>151</v>
      </c>
    </row>
    <row r="7" spans="1:10" ht="36" customHeight="1" x14ac:dyDescent="0.25">
      <c r="A7" t="s">
        <v>152</v>
      </c>
      <c r="B7" s="7">
        <v>2026</v>
      </c>
      <c r="C7" t="s">
        <v>153</v>
      </c>
      <c r="D7" s="6" t="s">
        <v>154</v>
      </c>
      <c r="I7" t="s">
        <v>155</v>
      </c>
      <c r="J7" t="s">
        <v>156</v>
      </c>
    </row>
    <row r="8" spans="1:10" ht="36" customHeight="1" x14ac:dyDescent="0.25">
      <c r="A8" t="s">
        <v>157</v>
      </c>
      <c r="B8" s="7" t="s">
        <v>158</v>
      </c>
      <c r="D8" s="6" t="s">
        <v>159</v>
      </c>
      <c r="I8" t="s">
        <v>160</v>
      </c>
      <c r="J8" t="s">
        <v>161</v>
      </c>
    </row>
    <row r="9" spans="1:10" ht="36" customHeight="1" x14ac:dyDescent="0.25">
      <c r="A9" t="s">
        <v>162</v>
      </c>
      <c r="B9" s="7">
        <v>12</v>
      </c>
      <c r="C9" t="s">
        <v>163</v>
      </c>
      <c r="D9" s="6" t="s">
        <v>164</v>
      </c>
      <c r="I9" t="s">
        <v>165</v>
      </c>
    </row>
    <row r="10" spans="1:10" ht="36" customHeight="1" x14ac:dyDescent="0.25">
      <c r="A10" t="s">
        <v>166</v>
      </c>
      <c r="B10" s="8">
        <v>0</v>
      </c>
      <c r="C10" t="s">
        <v>167</v>
      </c>
      <c r="D10" s="6" t="s">
        <v>168</v>
      </c>
    </row>
    <row r="11" spans="1:10" ht="36" customHeight="1" x14ac:dyDescent="0.25">
      <c r="A11" t="s">
        <v>169</v>
      </c>
      <c r="B11" s="8">
        <v>0</v>
      </c>
      <c r="C11" t="s">
        <v>167</v>
      </c>
      <c r="D11" s="6" t="s">
        <v>170</v>
      </c>
    </row>
    <row r="12" spans="1:10" ht="36" customHeight="1" x14ac:dyDescent="0.25">
      <c r="A12" t="s">
        <v>171</v>
      </c>
      <c r="B12" s="8">
        <v>0</v>
      </c>
      <c r="C12" t="s">
        <v>167</v>
      </c>
      <c r="D12" s="6" t="s">
        <v>172</v>
      </c>
    </row>
    <row r="13" spans="1:10" ht="36" customHeight="1" x14ac:dyDescent="0.25">
      <c r="A13" t="s">
        <v>173</v>
      </c>
      <c r="B13" s="9">
        <v>2.25</v>
      </c>
      <c r="C13" t="s">
        <v>174</v>
      </c>
      <c r="D13" s="6" t="s">
        <v>175</v>
      </c>
    </row>
    <row r="14" spans="1:10" ht="36" customHeight="1" x14ac:dyDescent="0.25">
      <c r="A14" t="s">
        <v>176</v>
      </c>
      <c r="B14" s="8">
        <v>0</v>
      </c>
      <c r="C14" t="s">
        <v>167</v>
      </c>
      <c r="D14" s="6" t="s">
        <v>177</v>
      </c>
    </row>
    <row r="15" spans="1:10" ht="36" customHeight="1" x14ac:dyDescent="0.25">
      <c r="A15" t="s">
        <v>178</v>
      </c>
      <c r="B15" s="7" t="s">
        <v>179</v>
      </c>
      <c r="D15" s="6" t="s">
        <v>180</v>
      </c>
    </row>
    <row r="17" spans="1:5" ht="21.95" customHeight="1" x14ac:dyDescent="0.25">
      <c r="A17" s="42" t="s">
        <v>181</v>
      </c>
      <c r="B17" s="40"/>
      <c r="C17" s="40"/>
      <c r="D17" s="40"/>
    </row>
    <row r="18" spans="1:5" ht="27.95" customHeight="1" x14ac:dyDescent="0.25">
      <c r="A18" s="3" t="s">
        <v>182</v>
      </c>
      <c r="B18" s="3" t="s">
        <v>183</v>
      </c>
      <c r="C18" s="3" t="s">
        <v>184</v>
      </c>
      <c r="D18" s="3" t="s">
        <v>185</v>
      </c>
    </row>
    <row r="19" spans="1:5" ht="60" x14ac:dyDescent="0.25">
      <c r="A19" t="s">
        <v>186</v>
      </c>
      <c r="B19" s="7" t="s">
        <v>187</v>
      </c>
      <c r="C19" t="s">
        <v>187</v>
      </c>
      <c r="D19" s="10" t="s">
        <v>188</v>
      </c>
    </row>
    <row r="20" spans="1:5" ht="45" x14ac:dyDescent="0.25">
      <c r="A20" t="s">
        <v>189</v>
      </c>
      <c r="B20" s="7" t="s">
        <v>187</v>
      </c>
      <c r="C20" t="s">
        <v>187</v>
      </c>
      <c r="D20" s="10" t="s">
        <v>190</v>
      </c>
    </row>
    <row r="21" spans="1:5" ht="30" x14ac:dyDescent="0.25">
      <c r="A21" t="s">
        <v>191</v>
      </c>
      <c r="B21" s="7" t="s">
        <v>187</v>
      </c>
      <c r="C21" t="s">
        <v>187</v>
      </c>
      <c r="D21" s="10" t="s">
        <v>192</v>
      </c>
    </row>
    <row r="22" spans="1:5" ht="45" x14ac:dyDescent="0.25">
      <c r="A22" t="s">
        <v>193</v>
      </c>
      <c r="B22" s="7" t="s">
        <v>187</v>
      </c>
      <c r="C22" t="s">
        <v>187</v>
      </c>
      <c r="D22" s="10" t="s">
        <v>194</v>
      </c>
    </row>
    <row r="23" spans="1:5" ht="45" x14ac:dyDescent="0.25">
      <c r="A23" t="s">
        <v>195</v>
      </c>
      <c r="B23" s="7" t="s">
        <v>179</v>
      </c>
      <c r="C23" t="s">
        <v>179</v>
      </c>
      <c r="D23" s="10" t="s">
        <v>196</v>
      </c>
    </row>
    <row r="25" spans="1:5" x14ac:dyDescent="0.25">
      <c r="A25" t="s">
        <v>197</v>
      </c>
      <c r="B25" s="45" t="str">
        <f>IF(AND(B19="Нет",B20="Нет",B21="Нет",B22="Нет",B23="Да"),"Условия базового чек-листа выполнены","Есть условие для проверки")</f>
        <v>Условия базового чек-листа выполнены</v>
      </c>
      <c r="C25" s="40"/>
      <c r="D25" s="40"/>
    </row>
    <row r="27" spans="1:5" ht="21.95" customHeight="1" x14ac:dyDescent="0.25">
      <c r="A27" s="42" t="s">
        <v>198</v>
      </c>
      <c r="B27" s="40"/>
      <c r="C27" s="40"/>
      <c r="D27" s="40"/>
      <c r="E27" s="40"/>
    </row>
    <row r="28" spans="1:5" ht="27.95" customHeight="1" x14ac:dyDescent="0.25">
      <c r="A28" s="3" t="s">
        <v>142</v>
      </c>
      <c r="B28" s="3" t="s">
        <v>143</v>
      </c>
      <c r="C28" s="3" t="s">
        <v>144</v>
      </c>
      <c r="D28" s="3" t="s">
        <v>199</v>
      </c>
      <c r="E28" s="3" t="s">
        <v>200</v>
      </c>
    </row>
    <row r="29" spans="1:5" x14ac:dyDescent="0.25">
      <c r="A29" t="s">
        <v>201</v>
      </c>
      <c r="B29" s="11">
        <v>122833</v>
      </c>
      <c r="C29" t="s">
        <v>202</v>
      </c>
      <c r="D29" t="s">
        <v>203</v>
      </c>
      <c r="E29" s="10" t="s">
        <v>204</v>
      </c>
    </row>
    <row r="30" spans="1:5" x14ac:dyDescent="0.25">
      <c r="A30" t="s">
        <v>205</v>
      </c>
      <c r="B30" s="12">
        <v>0.3</v>
      </c>
      <c r="C30" t="s">
        <v>206</v>
      </c>
      <c r="D30" t="s">
        <v>203</v>
      </c>
      <c r="E30" s="10" t="s">
        <v>207</v>
      </c>
    </row>
    <row r="31" spans="1:5" x14ac:dyDescent="0.25">
      <c r="A31" t="s">
        <v>208</v>
      </c>
      <c r="B31" s="11">
        <v>2904</v>
      </c>
      <c r="C31" t="s">
        <v>202</v>
      </c>
      <c r="D31" t="s">
        <v>209</v>
      </c>
      <c r="E31" s="10" t="s">
        <v>210</v>
      </c>
    </row>
    <row r="32" spans="1:5" x14ac:dyDescent="0.25">
      <c r="A32" t="s">
        <v>211</v>
      </c>
      <c r="B32" s="11">
        <v>7703</v>
      </c>
      <c r="C32" t="s">
        <v>212</v>
      </c>
      <c r="D32" t="s">
        <v>213</v>
      </c>
      <c r="E32" s="10" t="s">
        <v>214</v>
      </c>
    </row>
    <row r="33" spans="1:5" x14ac:dyDescent="0.25">
      <c r="A33" t="s">
        <v>215</v>
      </c>
      <c r="B33" s="12">
        <v>7.6999999999999999E-2</v>
      </c>
      <c r="C33" t="s">
        <v>216</v>
      </c>
      <c r="D33" t="s">
        <v>213</v>
      </c>
      <c r="E33" s="10" t="s">
        <v>217</v>
      </c>
    </row>
    <row r="34" spans="1:5" x14ac:dyDescent="0.25">
      <c r="A34" t="s">
        <v>218</v>
      </c>
      <c r="B34" s="12">
        <v>0.18</v>
      </c>
      <c r="C34" t="s">
        <v>216</v>
      </c>
      <c r="D34" t="s">
        <v>213</v>
      </c>
      <c r="E34" s="10" t="s">
        <v>219</v>
      </c>
    </row>
    <row r="35" spans="1:5" x14ac:dyDescent="0.25">
      <c r="A35" t="s">
        <v>220</v>
      </c>
      <c r="B35" s="11">
        <v>3442</v>
      </c>
      <c r="C35" t="s">
        <v>212</v>
      </c>
      <c r="D35" t="s">
        <v>213</v>
      </c>
      <c r="E35" s="10" t="s">
        <v>221</v>
      </c>
    </row>
    <row r="36" spans="1:5" x14ac:dyDescent="0.25">
      <c r="A36" t="s">
        <v>222</v>
      </c>
      <c r="B36" s="11">
        <v>51910</v>
      </c>
      <c r="C36" t="s">
        <v>212</v>
      </c>
      <c r="D36" t="s">
        <v>213</v>
      </c>
      <c r="E36" s="10" t="s">
        <v>223</v>
      </c>
    </row>
    <row r="37" spans="1:5" x14ac:dyDescent="0.25">
      <c r="A37" t="s">
        <v>224</v>
      </c>
      <c r="B37" s="11">
        <v>13769</v>
      </c>
      <c r="C37" t="s">
        <v>212</v>
      </c>
      <c r="D37" t="s">
        <v>225</v>
      </c>
      <c r="E37" s="10" t="s">
        <v>226</v>
      </c>
    </row>
    <row r="38" spans="1:5" x14ac:dyDescent="0.25">
      <c r="A38" t="s">
        <v>227</v>
      </c>
      <c r="B38" s="11">
        <v>82614</v>
      </c>
      <c r="C38" t="s">
        <v>202</v>
      </c>
      <c r="D38" t="s">
        <v>228</v>
      </c>
      <c r="E38" s="10" t="s">
        <v>229</v>
      </c>
    </row>
    <row r="39" spans="1:5" x14ac:dyDescent="0.25">
      <c r="A39" t="s">
        <v>230</v>
      </c>
      <c r="B39" s="12">
        <v>4.4499999999999998E-2</v>
      </c>
      <c r="C39" t="s">
        <v>216</v>
      </c>
      <c r="D39" t="s">
        <v>231</v>
      </c>
      <c r="E39" s="10" t="s">
        <v>232</v>
      </c>
    </row>
    <row r="40" spans="1:5" x14ac:dyDescent="0.25">
      <c r="A40" t="s">
        <v>233</v>
      </c>
      <c r="B40" s="11">
        <v>165228</v>
      </c>
      <c r="C40" t="s">
        <v>202</v>
      </c>
      <c r="D40" t="s">
        <v>228</v>
      </c>
      <c r="E40" s="10" t="s">
        <v>234</v>
      </c>
    </row>
    <row r="41" spans="1:5" x14ac:dyDescent="0.25">
      <c r="A41" t="s">
        <v>235</v>
      </c>
      <c r="B41" s="12">
        <v>0.1255</v>
      </c>
      <c r="C41" t="s">
        <v>216</v>
      </c>
      <c r="D41" t="s">
        <v>231</v>
      </c>
      <c r="E41" s="10" t="s">
        <v>236</v>
      </c>
    </row>
    <row r="44" spans="1:5" ht="21.95" customHeight="1" x14ac:dyDescent="0.25">
      <c r="A44" s="42" t="s">
        <v>237</v>
      </c>
      <c r="B44" s="40"/>
      <c r="C44" s="40"/>
      <c r="D44" s="40"/>
      <c r="E44" s="40"/>
    </row>
    <row r="45" spans="1:5" ht="27.95" customHeight="1" x14ac:dyDescent="0.25">
      <c r="A45" s="3" t="s">
        <v>238</v>
      </c>
      <c r="B45" s="3" t="s">
        <v>239</v>
      </c>
      <c r="C45" s="3" t="s">
        <v>240</v>
      </c>
      <c r="D45" s="3" t="s">
        <v>241</v>
      </c>
      <c r="E45" s="3" t="s">
        <v>199</v>
      </c>
    </row>
    <row r="46" spans="1:5" x14ac:dyDescent="0.25">
      <c r="A46" t="s">
        <v>77</v>
      </c>
      <c r="B46" s="13">
        <v>0</v>
      </c>
      <c r="C46" s="13">
        <v>84120</v>
      </c>
      <c r="D46" s="14">
        <v>0.1</v>
      </c>
      <c r="E46" t="s">
        <v>209</v>
      </c>
    </row>
    <row r="47" spans="1:5" x14ac:dyDescent="0.25">
      <c r="A47" t="s">
        <v>80</v>
      </c>
      <c r="B47" s="13">
        <v>84120</v>
      </c>
      <c r="C47" s="13">
        <v>120720</v>
      </c>
      <c r="D47" s="14">
        <v>0.14000000000000001</v>
      </c>
      <c r="E47" t="s">
        <v>209</v>
      </c>
    </row>
    <row r="48" spans="1:5" x14ac:dyDescent="0.25">
      <c r="A48" t="s">
        <v>82</v>
      </c>
      <c r="B48" s="13">
        <v>120720</v>
      </c>
      <c r="C48" s="13">
        <v>228000</v>
      </c>
      <c r="D48" s="14">
        <v>0.2</v>
      </c>
      <c r="E48" t="s">
        <v>209</v>
      </c>
    </row>
    <row r="49" spans="1:5" x14ac:dyDescent="0.25">
      <c r="A49" t="s">
        <v>85</v>
      </c>
      <c r="B49" s="13">
        <v>228000</v>
      </c>
      <c r="C49" s="13">
        <v>301200</v>
      </c>
      <c r="D49" s="14">
        <v>0.31</v>
      </c>
      <c r="E49" t="s">
        <v>209</v>
      </c>
    </row>
    <row r="50" spans="1:5" x14ac:dyDescent="0.25">
      <c r="A50" t="s">
        <v>88</v>
      </c>
      <c r="B50" s="13">
        <v>301200</v>
      </c>
      <c r="C50" s="13">
        <v>560280</v>
      </c>
      <c r="D50" s="14">
        <v>0.35</v>
      </c>
      <c r="E50" t="s">
        <v>209</v>
      </c>
    </row>
    <row r="51" spans="1:5" x14ac:dyDescent="0.25">
      <c r="A51" t="s">
        <v>91</v>
      </c>
      <c r="B51" s="13">
        <v>560280</v>
      </c>
      <c r="C51" s="13">
        <v>721560</v>
      </c>
      <c r="D51" s="14">
        <v>0.47</v>
      </c>
      <c r="E51" t="s">
        <v>209</v>
      </c>
    </row>
    <row r="52" spans="1:5" x14ac:dyDescent="0.25">
      <c r="A52" t="s">
        <v>242</v>
      </c>
      <c r="B52" s="13">
        <v>721560</v>
      </c>
      <c r="C52" s="13">
        <v>999999999</v>
      </c>
      <c r="D52" s="14">
        <v>0.5</v>
      </c>
      <c r="E52" t="s">
        <v>243</v>
      </c>
    </row>
  </sheetData>
  <mergeCells count="7">
    <mergeCell ref="A2:F2"/>
    <mergeCell ref="A17:D17"/>
    <mergeCell ref="A4:D4"/>
    <mergeCell ref="A1:F1"/>
    <mergeCell ref="A44:E44"/>
    <mergeCell ref="B25:D25"/>
    <mergeCell ref="A27:E27"/>
  </mergeCells>
  <dataValidations count="3">
    <dataValidation type="list" sqref="B6" xr:uid="{00000000-0002-0000-0200-000000000000}">
      <formula1>"ДЕМО,МОИ ДАННЫЕ"</formula1>
    </dataValidation>
    <dataValidation type="list" sqref="B8" xr:uid="{00000000-0002-0000-0200-000001000000}">
      <formula1>"בעל עסק זעיר (30%),Обычный учет (фактические расходы)"</formula1>
    </dataValidation>
    <dataValidation type="list" sqref="B15 B19:B23" xr:uid="{00000000-0002-0000-0200-000002000000}">
      <formula1>"Да,Нет"</formula1>
    </dataValidation>
  </dataValidations>
  <pageMargins left="0.75" right="0.75" top="1" bottom="1" header="0.5" footer="0.5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7"/>
  <sheetViews>
    <sheetView showGridLines="0" workbookViewId="0">
      <pane ySplit="2" topLeftCell="A3" activePane="bottomLeft" state="frozen"/>
      <selection pane="bottomLeft" sqref="A1:F1"/>
    </sheetView>
  </sheetViews>
  <sheetFormatPr defaultRowHeight="15" x14ac:dyDescent="0.25"/>
  <cols>
    <col min="1" max="1" width="34" customWidth="1"/>
    <col min="2" max="2" width="18" customWidth="1"/>
    <col min="3" max="4" width="24" customWidth="1"/>
    <col min="5" max="5" width="55" customWidth="1"/>
    <col min="6" max="6" width="58" customWidth="1"/>
  </cols>
  <sheetData>
    <row r="1" spans="1:6" ht="27.95" customHeight="1" x14ac:dyDescent="0.25">
      <c r="A1" s="43" t="s">
        <v>244</v>
      </c>
      <c r="B1" s="40"/>
      <c r="C1" s="40"/>
      <c r="D1" s="40"/>
      <c r="E1" s="40"/>
      <c r="F1" s="40"/>
    </row>
    <row r="2" spans="1:6" ht="27.95" customHeight="1" x14ac:dyDescent="0.25">
      <c r="A2" s="3" t="s">
        <v>245</v>
      </c>
      <c r="B2" s="3" t="s">
        <v>246</v>
      </c>
      <c r="C2" s="3" t="s">
        <v>247</v>
      </c>
      <c r="D2" s="3" t="s">
        <v>248</v>
      </c>
      <c r="E2" s="3" t="s">
        <v>249</v>
      </c>
      <c r="F2" s="3" t="s">
        <v>200</v>
      </c>
    </row>
    <row r="3" spans="1:6" ht="36" customHeight="1" x14ac:dyDescent="0.25">
      <c r="A3" s="15" t="s">
        <v>250</v>
      </c>
      <c r="B3" s="15" t="s">
        <v>110</v>
      </c>
      <c r="C3" s="15" t="s">
        <v>251</v>
      </c>
      <c r="D3" s="15"/>
      <c r="E3" s="16" t="s">
        <v>252</v>
      </c>
      <c r="F3" s="16" t="s">
        <v>253</v>
      </c>
    </row>
    <row r="4" spans="1:6" ht="36" customHeight="1" x14ac:dyDescent="0.25">
      <c r="A4" s="15" t="s">
        <v>254</v>
      </c>
      <c r="B4" s="15" t="s">
        <v>110</v>
      </c>
      <c r="C4" s="15" t="s">
        <v>251</v>
      </c>
      <c r="D4" s="15"/>
      <c r="E4" s="16" t="s">
        <v>255</v>
      </c>
      <c r="F4" s="16" t="s">
        <v>256</v>
      </c>
    </row>
    <row r="5" spans="1:6" ht="36" customHeight="1" x14ac:dyDescent="0.25">
      <c r="A5" s="15" t="s">
        <v>257</v>
      </c>
      <c r="B5" s="15" t="s">
        <v>110</v>
      </c>
      <c r="C5" s="15" t="s">
        <v>251</v>
      </c>
      <c r="D5" s="15"/>
      <c r="E5" s="16" t="s">
        <v>258</v>
      </c>
      <c r="F5" s="16" t="s">
        <v>259</v>
      </c>
    </row>
    <row r="6" spans="1:6" ht="36" customHeight="1" x14ac:dyDescent="0.25">
      <c r="A6" s="15" t="s">
        <v>260</v>
      </c>
      <c r="B6" s="15" t="s">
        <v>110</v>
      </c>
      <c r="C6" s="15" t="s">
        <v>251</v>
      </c>
      <c r="D6" s="15"/>
      <c r="E6" s="16" t="s">
        <v>261</v>
      </c>
      <c r="F6" s="16" t="s">
        <v>262</v>
      </c>
    </row>
    <row r="7" spans="1:6" ht="36" customHeight="1" x14ac:dyDescent="0.25">
      <c r="A7" s="17" t="s">
        <v>263</v>
      </c>
      <c r="B7" s="17" t="s">
        <v>112</v>
      </c>
      <c r="C7" s="17" t="s">
        <v>264</v>
      </c>
      <c r="D7" s="18">
        <v>1</v>
      </c>
      <c r="E7" s="19" t="s">
        <v>265</v>
      </c>
      <c r="F7" s="19" t="s">
        <v>266</v>
      </c>
    </row>
    <row r="8" spans="1:6" ht="36" customHeight="1" x14ac:dyDescent="0.25">
      <c r="A8" s="17" t="s">
        <v>267</v>
      </c>
      <c r="B8" s="17" t="s">
        <v>112</v>
      </c>
      <c r="C8" s="17" t="s">
        <v>264</v>
      </c>
      <c r="D8" s="18">
        <v>1</v>
      </c>
      <c r="E8" s="19" t="s">
        <v>268</v>
      </c>
      <c r="F8" s="19" t="s">
        <v>269</v>
      </c>
    </row>
    <row r="9" spans="1:6" ht="36" customHeight="1" x14ac:dyDescent="0.25">
      <c r="A9" s="17" t="s">
        <v>270</v>
      </c>
      <c r="B9" s="17" t="s">
        <v>112</v>
      </c>
      <c r="C9" s="17" t="s">
        <v>264</v>
      </c>
      <c r="D9" s="18">
        <v>1</v>
      </c>
      <c r="E9" s="19" t="s">
        <v>271</v>
      </c>
      <c r="F9" s="19" t="s">
        <v>272</v>
      </c>
    </row>
    <row r="10" spans="1:6" ht="36" customHeight="1" x14ac:dyDescent="0.25">
      <c r="A10" s="17" t="s">
        <v>273</v>
      </c>
      <c r="B10" s="17" t="s">
        <v>112</v>
      </c>
      <c r="C10" s="17" t="s">
        <v>264</v>
      </c>
      <c r="D10" s="18">
        <v>1</v>
      </c>
      <c r="E10" s="19" t="s">
        <v>274</v>
      </c>
      <c r="F10" s="19" t="s">
        <v>275</v>
      </c>
    </row>
    <row r="11" spans="1:6" ht="36" customHeight="1" x14ac:dyDescent="0.25">
      <c r="A11" s="17" t="s">
        <v>276</v>
      </c>
      <c r="B11" s="17" t="s">
        <v>112</v>
      </c>
      <c r="C11" s="17" t="s">
        <v>264</v>
      </c>
      <c r="D11" s="18">
        <v>1</v>
      </c>
      <c r="E11" s="19" t="s">
        <v>277</v>
      </c>
      <c r="F11" s="19" t="s">
        <v>278</v>
      </c>
    </row>
    <row r="12" spans="1:6" ht="36" customHeight="1" x14ac:dyDescent="0.25">
      <c r="A12" s="17" t="s">
        <v>279</v>
      </c>
      <c r="B12" s="17" t="s">
        <v>112</v>
      </c>
      <c r="C12" s="17" t="s">
        <v>264</v>
      </c>
      <c r="D12" s="18">
        <v>1</v>
      </c>
      <c r="E12" s="19" t="s">
        <v>280</v>
      </c>
      <c r="F12" s="19" t="s">
        <v>281</v>
      </c>
    </row>
    <row r="13" spans="1:6" ht="36" customHeight="1" x14ac:dyDescent="0.25">
      <c r="A13" s="17" t="s">
        <v>282</v>
      </c>
      <c r="B13" s="17" t="s">
        <v>112</v>
      </c>
      <c r="C13" s="17" t="s">
        <v>264</v>
      </c>
      <c r="D13" s="18">
        <v>1</v>
      </c>
      <c r="E13" s="19" t="s">
        <v>283</v>
      </c>
      <c r="F13" s="19" t="s">
        <v>284</v>
      </c>
    </row>
    <row r="14" spans="1:6" ht="36" customHeight="1" x14ac:dyDescent="0.25">
      <c r="A14" s="17" t="s">
        <v>285</v>
      </c>
      <c r="B14" s="17" t="s">
        <v>112</v>
      </c>
      <c r="C14" s="17" t="s">
        <v>264</v>
      </c>
      <c r="D14" s="18">
        <v>1</v>
      </c>
      <c r="E14" s="19" t="s">
        <v>286</v>
      </c>
      <c r="F14" s="19" t="s">
        <v>287</v>
      </c>
    </row>
    <row r="15" spans="1:6" ht="36" customHeight="1" x14ac:dyDescent="0.25">
      <c r="A15" s="17" t="s">
        <v>288</v>
      </c>
      <c r="B15" s="17" t="s">
        <v>112</v>
      </c>
      <c r="C15" s="17" t="s">
        <v>289</v>
      </c>
      <c r="D15" s="17"/>
      <c r="E15" s="19" t="s">
        <v>290</v>
      </c>
      <c r="F15" s="19" t="s">
        <v>291</v>
      </c>
    </row>
    <row r="16" spans="1:6" ht="36" customHeight="1" x14ac:dyDescent="0.25">
      <c r="A16" s="17" t="s">
        <v>292</v>
      </c>
      <c r="B16" s="17" t="s">
        <v>112</v>
      </c>
      <c r="C16" s="17" t="s">
        <v>289</v>
      </c>
      <c r="D16" s="17"/>
      <c r="E16" s="19" t="s">
        <v>293</v>
      </c>
      <c r="F16" s="19" t="s">
        <v>294</v>
      </c>
    </row>
    <row r="17" spans="1:6" ht="36" customHeight="1" x14ac:dyDescent="0.25">
      <c r="A17" s="17" t="s">
        <v>295</v>
      </c>
      <c r="B17" s="17" t="s">
        <v>112</v>
      </c>
      <c r="C17" s="17" t="s">
        <v>296</v>
      </c>
      <c r="D17" s="17"/>
      <c r="E17" s="19" t="s">
        <v>297</v>
      </c>
      <c r="F17" s="19" t="s">
        <v>298</v>
      </c>
    </row>
    <row r="18" spans="1:6" ht="36" customHeight="1" x14ac:dyDescent="0.25">
      <c r="A18" s="17" t="s">
        <v>299</v>
      </c>
      <c r="B18" s="17" t="s">
        <v>112</v>
      </c>
      <c r="C18" s="17" t="s">
        <v>296</v>
      </c>
      <c r="D18" s="17"/>
      <c r="E18" s="19" t="s">
        <v>300</v>
      </c>
      <c r="F18" s="19" t="s">
        <v>301</v>
      </c>
    </row>
    <row r="19" spans="1:6" ht="36" customHeight="1" x14ac:dyDescent="0.25">
      <c r="A19" s="17" t="s">
        <v>302</v>
      </c>
      <c r="B19" s="17" t="s">
        <v>112</v>
      </c>
      <c r="C19" s="17" t="s">
        <v>264</v>
      </c>
      <c r="D19" s="17"/>
      <c r="E19" s="19" t="s">
        <v>303</v>
      </c>
      <c r="F19" s="19" t="s">
        <v>304</v>
      </c>
    </row>
    <row r="20" spans="1:6" ht="36" customHeight="1" x14ac:dyDescent="0.25">
      <c r="A20" s="17" t="s">
        <v>305</v>
      </c>
      <c r="B20" s="17" t="s">
        <v>112</v>
      </c>
      <c r="C20" s="17" t="s">
        <v>306</v>
      </c>
      <c r="D20" s="18">
        <v>0</v>
      </c>
      <c r="E20" s="19" t="s">
        <v>307</v>
      </c>
      <c r="F20" s="19" t="s">
        <v>308</v>
      </c>
    </row>
    <row r="21" spans="1:6" ht="36" customHeight="1" x14ac:dyDescent="0.25">
      <c r="A21" s="20" t="s">
        <v>309</v>
      </c>
      <c r="B21" s="20" t="s">
        <v>114</v>
      </c>
      <c r="C21" s="20" t="s">
        <v>310</v>
      </c>
      <c r="D21" s="20"/>
      <c r="E21" s="21" t="s">
        <v>311</v>
      </c>
      <c r="F21" s="21" t="s">
        <v>312</v>
      </c>
    </row>
    <row r="22" spans="1:6" ht="36" customHeight="1" x14ac:dyDescent="0.25">
      <c r="A22" s="20" t="s">
        <v>313</v>
      </c>
      <c r="B22" s="20" t="s">
        <v>114</v>
      </c>
      <c r="C22" s="20" t="s">
        <v>310</v>
      </c>
      <c r="D22" s="20"/>
      <c r="E22" s="21" t="s">
        <v>314</v>
      </c>
      <c r="F22" s="21" t="s">
        <v>315</v>
      </c>
    </row>
    <row r="23" spans="1:6" ht="36" customHeight="1" x14ac:dyDescent="0.25">
      <c r="A23" s="20" t="s">
        <v>316</v>
      </c>
      <c r="B23" s="20" t="s">
        <v>114</v>
      </c>
      <c r="C23" s="20" t="s">
        <v>310</v>
      </c>
      <c r="D23" s="20"/>
      <c r="E23" s="21" t="s">
        <v>317</v>
      </c>
      <c r="F23" s="21" t="s">
        <v>318</v>
      </c>
    </row>
    <row r="24" spans="1:6" ht="36" customHeight="1" x14ac:dyDescent="0.25">
      <c r="A24" s="20" t="s">
        <v>319</v>
      </c>
      <c r="B24" s="20" t="s">
        <v>114</v>
      </c>
      <c r="C24" s="20" t="s">
        <v>310</v>
      </c>
      <c r="D24" s="20"/>
      <c r="E24" s="21" t="s">
        <v>320</v>
      </c>
      <c r="F24" s="21" t="s">
        <v>321</v>
      </c>
    </row>
    <row r="25" spans="1:6" ht="36" customHeight="1" x14ac:dyDescent="0.25">
      <c r="A25" s="22" t="s">
        <v>322</v>
      </c>
      <c r="B25" s="22" t="s">
        <v>116</v>
      </c>
      <c r="C25" s="22" t="s">
        <v>323</v>
      </c>
      <c r="D25" s="22"/>
      <c r="E25" s="23" t="s">
        <v>324</v>
      </c>
      <c r="F25" s="23" t="s">
        <v>325</v>
      </c>
    </row>
    <row r="26" spans="1:6" ht="36" customHeight="1" x14ac:dyDescent="0.25">
      <c r="A26" s="22" t="s">
        <v>326</v>
      </c>
      <c r="B26" s="22" t="s">
        <v>116</v>
      </c>
      <c r="C26" s="22" t="s">
        <v>323</v>
      </c>
      <c r="D26" s="22"/>
      <c r="E26" s="23" t="s">
        <v>327</v>
      </c>
      <c r="F26" s="23" t="s">
        <v>328</v>
      </c>
    </row>
    <row r="27" spans="1:6" ht="36" customHeight="1" x14ac:dyDescent="0.25">
      <c r="A27" s="22" t="s">
        <v>329</v>
      </c>
      <c r="B27" s="22" t="s">
        <v>116</v>
      </c>
      <c r="C27" s="22" t="s">
        <v>323</v>
      </c>
      <c r="D27" s="22"/>
      <c r="E27" s="23" t="s">
        <v>330</v>
      </c>
      <c r="F27" s="23" t="s">
        <v>331</v>
      </c>
    </row>
  </sheetData>
  <autoFilter ref="A2:F27" xr:uid="{00000000-0009-0000-0000-000003000000}"/>
  <mergeCells count="1">
    <mergeCell ref="A1:F1"/>
  </mergeCells>
  <pageMargins left="0.75" right="0.75" top="1" bottom="1" header="0.5" footer="0.5"/>
  <pageSetup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04"/>
  <sheetViews>
    <sheetView showGridLines="0" workbookViewId="0">
      <pane ySplit="4" topLeftCell="A5" activePane="bottomLeft" state="frozen"/>
      <selection pane="bottomLeft" sqref="A1:N1"/>
    </sheetView>
  </sheetViews>
  <sheetFormatPr defaultRowHeight="15" x14ac:dyDescent="0.25"/>
  <cols>
    <col min="1" max="1" width="12" customWidth="1"/>
    <col min="2" max="2" width="16" customWidth="1"/>
    <col min="3" max="4" width="30" customWidth="1"/>
    <col min="5" max="5" width="14" customWidth="1"/>
    <col min="6" max="6" width="20" customWidth="1"/>
    <col min="7" max="7" width="16" customWidth="1"/>
    <col min="8" max="8" width="15" customWidth="1"/>
    <col min="9" max="9" width="18" customWidth="1"/>
    <col min="10" max="10" width="34" customWidth="1"/>
    <col min="11" max="11" width="10" customWidth="1"/>
    <col min="12" max="12" width="22" customWidth="1"/>
    <col min="13" max="13" width="28" customWidth="1"/>
    <col min="14" max="14" width="10" customWidth="1"/>
  </cols>
  <sheetData>
    <row r="1" spans="1:14" ht="27.95" customHeight="1" x14ac:dyDescent="0.25">
      <c r="A1" s="43" t="s">
        <v>332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25">
      <c r="A2" s="44" t="s">
        <v>333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4" spans="1:14" ht="27.95" customHeight="1" x14ac:dyDescent="0.25">
      <c r="A4" s="24" t="s">
        <v>334</v>
      </c>
      <c r="B4" s="24" t="s">
        <v>246</v>
      </c>
      <c r="C4" s="24" t="s">
        <v>335</v>
      </c>
      <c r="D4" s="24" t="s">
        <v>245</v>
      </c>
      <c r="E4" s="24" t="s">
        <v>336</v>
      </c>
      <c r="F4" s="24" t="s">
        <v>337</v>
      </c>
      <c r="G4" s="24" t="s">
        <v>338</v>
      </c>
      <c r="H4" s="24" t="s">
        <v>118</v>
      </c>
      <c r="I4" s="24" t="s">
        <v>199</v>
      </c>
      <c r="J4" s="24" t="s">
        <v>200</v>
      </c>
      <c r="K4" s="25" t="s">
        <v>339</v>
      </c>
      <c r="L4" s="25" t="s">
        <v>340</v>
      </c>
      <c r="M4" s="25" t="s">
        <v>341</v>
      </c>
      <c r="N4" s="25" t="s">
        <v>342</v>
      </c>
    </row>
    <row r="5" spans="1:14" x14ac:dyDescent="0.25">
      <c r="A5" s="26">
        <v>46292</v>
      </c>
      <c r="B5" s="27" t="s">
        <v>116</v>
      </c>
      <c r="C5" s="27" t="s">
        <v>343</v>
      </c>
      <c r="D5" s="27" t="s">
        <v>322</v>
      </c>
      <c r="E5" s="28">
        <v>2250</v>
      </c>
      <c r="F5" s="27" t="s">
        <v>155</v>
      </c>
      <c r="G5" s="27"/>
      <c r="H5" s="29"/>
      <c r="I5" s="27" t="s">
        <v>136</v>
      </c>
      <c r="J5" s="27" t="s">
        <v>344</v>
      </c>
      <c r="K5" s="30">
        <f t="shared" ref="K5:K68" si="0">IF(A5="","",MONTH(A5))</f>
        <v>9</v>
      </c>
      <c r="L5" s="31">
        <f>IF(B5&lt;&gt;"Расход",0,IF(H5&lt;&gt;"",E5*H5,IFERROR(IF(VLOOKUP(D5,Категории!$A$3:$F$27,4,FALSE)="",0,E5*VLOOKUP(D5,Категории!$A$3:$F$27,4,FALSE)),0)))</f>
        <v>0</v>
      </c>
      <c r="M5" s="30" t="str">
        <f>IF(A5="","",IF(NOT(ISNUMBER(A5)),"ДАТА; ","")&amp;IF(NOT(ISNUMBER(E5)),"СУММА; ","")&amp;IF(AND(B5&lt;&gt;"",D5&lt;&gt;"",IFERROR(VLOOKUP(D5,Категории!$A$3:$B$27,2,FALSE),"")&lt;&gt;B5),"ТИП/КАТЕГОРИЯ; ","")&amp;IF(AND(B5="Доход",G5=""),"НЕТ № КВИТАНЦИИ; ","")&amp;IF(AND(B5="Расход",H5="",IFERROR(VLOOKUP(D5,Категории!$A$3:$D$27,4,FALSE),"")=""),"УКАЖИТЕ ДОЛЮ; ","")&amp;IF(COUNTIFS($A$5:$A$504,A5,$B$5:$B$504,B5,$C$5:$C$504,C5,$E$5:$E$504,E5)&gt;1,"ВОЗМОЖНЫЙ ДУБЛЬ; ","")&amp;IF(AND(A5&lt;&gt;"",A6&lt;&gt;"",A5&lt;A6),"ПОРЯДОК ДАТ; ",""))</f>
        <v/>
      </c>
      <c r="N5" s="30">
        <f>IF(A5="","",IF(Настройки_2026!$B$6="ДЕМО",1,IF(I5="ДЕМО",0,1)))</f>
        <v>1</v>
      </c>
    </row>
    <row r="6" spans="1:14" x14ac:dyDescent="0.25">
      <c r="A6" s="26">
        <v>46285</v>
      </c>
      <c r="B6" s="27" t="s">
        <v>112</v>
      </c>
      <c r="C6" s="27" t="s">
        <v>345</v>
      </c>
      <c r="D6" s="27" t="s">
        <v>273</v>
      </c>
      <c r="E6" s="28">
        <v>95</v>
      </c>
      <c r="F6" s="27" t="s">
        <v>155</v>
      </c>
      <c r="G6" s="27" t="s">
        <v>346</v>
      </c>
      <c r="H6" s="29">
        <v>1</v>
      </c>
      <c r="I6" s="27" t="s">
        <v>136</v>
      </c>
      <c r="J6" s="27" t="s">
        <v>347</v>
      </c>
      <c r="K6" s="30">
        <f t="shared" si="0"/>
        <v>9</v>
      </c>
      <c r="L6" s="31">
        <f>IF(B6&lt;&gt;"Расход",0,IF(H6&lt;&gt;"",E6*H6,IFERROR(IF(VLOOKUP(D6,Категории!$A$3:$F$27,4,FALSE)="",0,E6*VLOOKUP(D6,Категории!$A$3:$F$27,4,FALSE)),0)))</f>
        <v>95</v>
      </c>
      <c r="M6" s="30" t="str">
        <f>IF(A6="","",IF(NOT(ISNUMBER(A6)),"ДАТА; ","")&amp;IF(NOT(ISNUMBER(E6)),"СУММА; ","")&amp;IF(AND(B6&lt;&gt;"",D6&lt;&gt;"",IFERROR(VLOOKUP(D6,Категории!$A$3:$B$27,2,FALSE),"")&lt;&gt;B6),"ТИП/КАТЕГОРИЯ; ","")&amp;IF(AND(B6="Доход",G6=""),"НЕТ № КВИТАНЦИИ; ","")&amp;IF(AND(B6="Расход",H6="",IFERROR(VLOOKUP(D6,Категории!$A$3:$D$27,4,FALSE),"")=""),"УКАЖИТЕ ДОЛЮ; ","")&amp;IF(COUNTIFS($A$5:$A$504,A6,$B$5:$B$504,B6,$C$5:$C$504,C6,$E$5:$E$504,E6)&gt;1,"ВОЗМОЖНЫЙ ДУБЛЬ; ","")&amp;IF(AND(A6&lt;&gt;"",A7&lt;&gt;"",A6&lt;A7),"ПОРЯДОК ДАТ; ",""))</f>
        <v/>
      </c>
      <c r="N6" s="30">
        <f>IF(A6="","",IF(Настройки_2026!$B$6="ДЕМО",1,IF(I6="ДЕМО",0,1)))</f>
        <v>1</v>
      </c>
    </row>
    <row r="7" spans="1:14" x14ac:dyDescent="0.25">
      <c r="A7" s="26">
        <v>46284</v>
      </c>
      <c r="B7" s="27" t="s">
        <v>110</v>
      </c>
      <c r="C7" s="27" t="s">
        <v>348</v>
      </c>
      <c r="D7" s="27" t="s">
        <v>254</v>
      </c>
      <c r="E7" s="28">
        <v>3000</v>
      </c>
      <c r="F7" s="27" t="s">
        <v>135</v>
      </c>
      <c r="G7" s="27" t="s">
        <v>349</v>
      </c>
      <c r="H7" s="29"/>
      <c r="I7" s="27" t="s">
        <v>136</v>
      </c>
      <c r="J7" s="27" t="s">
        <v>347</v>
      </c>
      <c r="K7" s="30">
        <f t="shared" si="0"/>
        <v>9</v>
      </c>
      <c r="L7" s="31">
        <f>IF(B7&lt;&gt;"Расход",0,IF(H7&lt;&gt;"",E7*H7,IFERROR(IF(VLOOKUP(D7,Категории!$A$3:$F$27,4,FALSE)="",0,E7*VLOOKUP(D7,Категории!$A$3:$F$27,4,FALSE)),0)))</f>
        <v>0</v>
      </c>
      <c r="M7" s="30" t="str">
        <f>IF(A7="","",IF(NOT(ISNUMBER(A7)),"ДАТА; ","")&amp;IF(NOT(ISNUMBER(E7)),"СУММА; ","")&amp;IF(AND(B7&lt;&gt;"",D7&lt;&gt;"",IFERROR(VLOOKUP(D7,Категории!$A$3:$B$27,2,FALSE),"")&lt;&gt;B7),"ТИП/КАТЕГОРИЯ; ","")&amp;IF(AND(B7="Доход",G7=""),"НЕТ № КВИТАНЦИИ; ","")&amp;IF(AND(B7="Расход",H7="",IFERROR(VLOOKUP(D7,Категории!$A$3:$D$27,4,FALSE),"")=""),"УКАЖИТЕ ДОЛЮ; ","")&amp;IF(COUNTIFS($A$5:$A$504,A7,$B$5:$B$504,B7,$C$5:$C$504,C7,$E$5:$E$504,E7)&gt;1,"ВОЗМОЖНЫЙ ДУБЛЬ; ","")&amp;IF(AND(A7&lt;&gt;"",A8&lt;&gt;"",A7&lt;A8),"ПОРЯДОК ДАТ; ",""))</f>
        <v/>
      </c>
      <c r="N7" s="30">
        <f>IF(A7="","",IF(Настройки_2026!$B$6="ДЕМО",1,IF(I7="ДЕМО",0,1)))</f>
        <v>1</v>
      </c>
    </row>
    <row r="8" spans="1:14" x14ac:dyDescent="0.25">
      <c r="A8" s="26">
        <v>46283</v>
      </c>
      <c r="B8" s="27" t="s">
        <v>114</v>
      </c>
      <c r="C8" s="27" t="s">
        <v>350</v>
      </c>
      <c r="D8" s="27" t="s">
        <v>316</v>
      </c>
      <c r="E8" s="28">
        <v>500</v>
      </c>
      <c r="F8" s="27" t="s">
        <v>155</v>
      </c>
      <c r="G8" s="27"/>
      <c r="H8" s="29"/>
      <c r="I8" s="27" t="s">
        <v>136</v>
      </c>
      <c r="J8" s="27" t="s">
        <v>351</v>
      </c>
      <c r="K8" s="30">
        <f t="shared" si="0"/>
        <v>9</v>
      </c>
      <c r="L8" s="31">
        <f>IF(B8&lt;&gt;"Расход",0,IF(H8&lt;&gt;"",E8*H8,IFERROR(IF(VLOOKUP(D8,Категории!$A$3:$F$27,4,FALSE)="",0,E8*VLOOKUP(D8,Категории!$A$3:$F$27,4,FALSE)),0)))</f>
        <v>0</v>
      </c>
      <c r="M8" s="30" t="str">
        <f>IF(A8="","",IF(NOT(ISNUMBER(A8)),"ДАТА; ","")&amp;IF(NOT(ISNUMBER(E8)),"СУММА; ","")&amp;IF(AND(B8&lt;&gt;"",D8&lt;&gt;"",IFERROR(VLOOKUP(D8,Категории!$A$3:$B$27,2,FALSE),"")&lt;&gt;B8),"ТИП/КАТЕГОРИЯ; ","")&amp;IF(AND(B8="Доход",G8=""),"НЕТ № КВИТАНЦИИ; ","")&amp;IF(AND(B8="Расход",H8="",IFERROR(VLOOKUP(D8,Категории!$A$3:$D$27,4,FALSE),"")=""),"УКАЖИТЕ ДОЛЮ; ","")&amp;IF(COUNTIFS($A$5:$A$504,A8,$B$5:$B$504,B8,$C$5:$C$504,C8,$E$5:$E$504,E8)&gt;1,"ВОЗМОЖНЫЙ ДУБЛЬ; ","")&amp;IF(AND(A8&lt;&gt;"",A9&lt;&gt;"",A8&lt;A9),"ПОРЯДОК ДАТ; ",""))</f>
        <v/>
      </c>
      <c r="N8" s="30">
        <f>IF(A8="","",IF(Настройки_2026!$B$6="ДЕМО",1,IF(I8="ДЕМО",0,1)))</f>
        <v>1</v>
      </c>
    </row>
    <row r="9" spans="1:14" x14ac:dyDescent="0.25">
      <c r="A9" s="26">
        <v>46280</v>
      </c>
      <c r="B9" s="27" t="s">
        <v>112</v>
      </c>
      <c r="C9" s="27" t="s">
        <v>352</v>
      </c>
      <c r="D9" s="27" t="s">
        <v>263</v>
      </c>
      <c r="E9" s="28">
        <v>560</v>
      </c>
      <c r="F9" s="27" t="s">
        <v>140</v>
      </c>
      <c r="G9" s="27" t="s">
        <v>353</v>
      </c>
      <c r="H9" s="29">
        <v>1</v>
      </c>
      <c r="I9" s="27" t="s">
        <v>136</v>
      </c>
      <c r="J9" s="27" t="s">
        <v>347</v>
      </c>
      <c r="K9" s="30">
        <f t="shared" si="0"/>
        <v>9</v>
      </c>
      <c r="L9" s="31">
        <f>IF(B9&lt;&gt;"Расход",0,IF(H9&lt;&gt;"",E9*H9,IFERROR(IF(VLOOKUP(D9,Категории!$A$3:$F$27,4,FALSE)="",0,E9*VLOOKUP(D9,Категории!$A$3:$F$27,4,FALSE)),0)))</f>
        <v>560</v>
      </c>
      <c r="M9" s="30" t="str">
        <f>IF(A9="","",IF(NOT(ISNUMBER(A9)),"ДАТА; ","")&amp;IF(NOT(ISNUMBER(E9)),"СУММА; ","")&amp;IF(AND(B9&lt;&gt;"",D9&lt;&gt;"",IFERROR(VLOOKUP(D9,Категории!$A$3:$B$27,2,FALSE),"")&lt;&gt;B9),"ТИП/КАТЕГОРИЯ; ","")&amp;IF(AND(B9="Доход",G9=""),"НЕТ № КВИТАНЦИИ; ","")&amp;IF(AND(B9="Расход",H9="",IFERROR(VLOOKUP(D9,Категории!$A$3:$D$27,4,FALSE),"")=""),"УКАЖИТЕ ДОЛЮ; ","")&amp;IF(COUNTIFS($A$5:$A$504,A9,$B$5:$B$504,B9,$C$5:$C$504,C9,$E$5:$E$504,E9)&gt;1,"ВОЗМОЖНЫЙ ДУБЛЬ; ","")&amp;IF(AND(A9&lt;&gt;"",A10&lt;&gt;"",A9&lt;A10),"ПОРЯДОК ДАТ; ",""))</f>
        <v/>
      </c>
      <c r="N9" s="30">
        <f>IF(A9="","",IF(Настройки_2026!$B$6="ДЕМО",1,IF(I9="ДЕМО",0,1)))</f>
        <v>1</v>
      </c>
    </row>
    <row r="10" spans="1:14" x14ac:dyDescent="0.25">
      <c r="A10" s="26">
        <v>46276</v>
      </c>
      <c r="B10" s="27" t="s">
        <v>110</v>
      </c>
      <c r="C10" s="27" t="s">
        <v>354</v>
      </c>
      <c r="D10" s="27" t="s">
        <v>250</v>
      </c>
      <c r="E10" s="28">
        <v>2500</v>
      </c>
      <c r="F10" s="27" t="s">
        <v>146</v>
      </c>
      <c r="G10" s="27" t="s">
        <v>355</v>
      </c>
      <c r="H10" s="29"/>
      <c r="I10" s="27" t="s">
        <v>136</v>
      </c>
      <c r="J10" s="27" t="s">
        <v>347</v>
      </c>
      <c r="K10" s="30">
        <f t="shared" si="0"/>
        <v>9</v>
      </c>
      <c r="L10" s="31">
        <f>IF(B10&lt;&gt;"Расход",0,IF(H10&lt;&gt;"",E10*H10,IFERROR(IF(VLOOKUP(D10,Категории!$A$3:$F$27,4,FALSE)="",0,E10*VLOOKUP(D10,Категории!$A$3:$F$27,4,FALSE)),0)))</f>
        <v>0</v>
      </c>
      <c r="M10" s="30" t="str">
        <f>IF(A10="","",IF(NOT(ISNUMBER(A10)),"ДАТА; ","")&amp;IF(NOT(ISNUMBER(E10)),"СУММА; ","")&amp;IF(AND(B10&lt;&gt;"",D10&lt;&gt;"",IFERROR(VLOOKUP(D10,Категории!$A$3:$B$27,2,FALSE),"")&lt;&gt;B10),"ТИП/КАТЕГОРИЯ; ","")&amp;IF(AND(B10="Доход",G10=""),"НЕТ № КВИТАНЦИИ; ","")&amp;IF(AND(B10="Расход",H10="",IFERROR(VLOOKUP(D10,Категории!$A$3:$D$27,4,FALSE),"")=""),"УКАЖИТЕ ДОЛЮ; ","")&amp;IF(COUNTIFS($A$5:$A$504,A10,$B$5:$B$504,B10,$C$5:$C$504,C10,$E$5:$E$504,E10)&gt;1,"ВОЗМОЖНЫЙ ДУБЛЬ; ","")&amp;IF(AND(A10&lt;&gt;"",A11&lt;&gt;"",A10&lt;A11),"ПОРЯДОК ДАТ; ",""))</f>
        <v/>
      </c>
      <c r="N10" s="30">
        <f>IF(A10="","",IF(Настройки_2026!$B$6="ДЕМО",1,IF(I10="ДЕМО",0,1)))</f>
        <v>1</v>
      </c>
    </row>
    <row r="11" spans="1:14" ht="25.5" x14ac:dyDescent="0.25">
      <c r="A11" s="26">
        <v>46275</v>
      </c>
      <c r="B11" s="27" t="s">
        <v>114</v>
      </c>
      <c r="C11" s="27" t="s">
        <v>356</v>
      </c>
      <c r="D11" s="27" t="s">
        <v>313</v>
      </c>
      <c r="E11" s="28">
        <v>650</v>
      </c>
      <c r="F11" s="27" t="s">
        <v>155</v>
      </c>
      <c r="G11" s="27"/>
      <c r="H11" s="29"/>
      <c r="I11" s="27" t="s">
        <v>136</v>
      </c>
      <c r="J11" s="27" t="s">
        <v>357</v>
      </c>
      <c r="K11" s="30">
        <f t="shared" si="0"/>
        <v>9</v>
      </c>
      <c r="L11" s="31">
        <f>IF(B11&lt;&gt;"Расход",0,IF(H11&lt;&gt;"",E11*H11,IFERROR(IF(VLOOKUP(D11,Категории!$A$3:$F$27,4,FALSE)="",0,E11*VLOOKUP(D11,Категории!$A$3:$F$27,4,FALSE)),0)))</f>
        <v>0</v>
      </c>
      <c r="M11" s="30" t="str">
        <f>IF(A11="","",IF(NOT(ISNUMBER(A11)),"ДАТА; ","")&amp;IF(NOT(ISNUMBER(E11)),"СУММА; ","")&amp;IF(AND(B11&lt;&gt;"",D11&lt;&gt;"",IFERROR(VLOOKUP(D11,Категории!$A$3:$B$27,2,FALSE),"")&lt;&gt;B11),"ТИП/КАТЕГОРИЯ; ","")&amp;IF(AND(B11="Доход",G11=""),"НЕТ № КВИТАНЦИИ; ","")&amp;IF(AND(B11="Расход",H11="",IFERROR(VLOOKUP(D11,Категории!$A$3:$D$27,4,FALSE),"")=""),"УКАЖИТЕ ДОЛЮ; ","")&amp;IF(COUNTIFS($A$5:$A$504,A11,$B$5:$B$504,B11,$C$5:$C$504,C11,$E$5:$E$504,E11)&gt;1,"ВОЗМОЖНЫЙ ДУБЛЬ; ","")&amp;IF(AND(A11&lt;&gt;"",A12&lt;&gt;"",A11&lt;A12),"ПОРЯДОК ДАТ; ",""))</f>
        <v/>
      </c>
      <c r="N11" s="30">
        <f>IF(A11="","",IF(Настройки_2026!$B$6="ДЕМО",1,IF(I11="ДЕМО",0,1)))</f>
        <v>1</v>
      </c>
    </row>
    <row r="12" spans="1:14" x14ac:dyDescent="0.25">
      <c r="A12" s="26">
        <v>46274</v>
      </c>
      <c r="B12" s="27" t="s">
        <v>112</v>
      </c>
      <c r="C12" s="27" t="s">
        <v>358</v>
      </c>
      <c r="D12" s="27" t="s">
        <v>270</v>
      </c>
      <c r="E12" s="28">
        <v>450</v>
      </c>
      <c r="F12" s="27" t="s">
        <v>137</v>
      </c>
      <c r="G12" s="27" t="s">
        <v>359</v>
      </c>
      <c r="H12" s="29">
        <v>1</v>
      </c>
      <c r="I12" s="27" t="s">
        <v>136</v>
      </c>
      <c r="J12" s="27" t="s">
        <v>347</v>
      </c>
      <c r="K12" s="30">
        <f t="shared" si="0"/>
        <v>9</v>
      </c>
      <c r="L12" s="31">
        <f>IF(B12&lt;&gt;"Расход",0,IF(H12&lt;&gt;"",E12*H12,IFERROR(IF(VLOOKUP(D12,Категории!$A$3:$F$27,4,FALSE)="",0,E12*VLOOKUP(D12,Категории!$A$3:$F$27,4,FALSE)),0)))</f>
        <v>450</v>
      </c>
      <c r="M12" s="30" t="str">
        <f>IF(A12="","",IF(NOT(ISNUMBER(A12)),"ДАТА; ","")&amp;IF(NOT(ISNUMBER(E12)),"СУММА; ","")&amp;IF(AND(B12&lt;&gt;"",D12&lt;&gt;"",IFERROR(VLOOKUP(D12,Категории!$A$3:$B$27,2,FALSE),"")&lt;&gt;B12),"ТИП/КАТЕГОРИЯ; ","")&amp;IF(AND(B12="Доход",G12=""),"НЕТ № КВИТАНЦИИ; ","")&amp;IF(AND(B12="Расход",H12="",IFERROR(VLOOKUP(D12,Категории!$A$3:$D$27,4,FALSE),"")=""),"УКАЖИТЕ ДОЛЮ; ","")&amp;IF(COUNTIFS($A$5:$A$504,A12,$B$5:$B$504,B12,$C$5:$C$504,C12,$E$5:$E$504,E12)&gt;1,"ВОЗМОЖНЫЙ ДУБЛЬ; ","")&amp;IF(AND(A12&lt;&gt;"",A13&lt;&gt;"",A12&lt;A13),"ПОРЯДОК ДАТ; ",""))</f>
        <v/>
      </c>
      <c r="N12" s="30">
        <f>IF(A12="","",IF(Настройки_2026!$B$6="ДЕМО",1,IF(I12="ДЕМО",0,1)))</f>
        <v>1</v>
      </c>
    </row>
    <row r="13" spans="1:14" x14ac:dyDescent="0.25">
      <c r="A13" s="26">
        <v>46270</v>
      </c>
      <c r="B13" s="27" t="s">
        <v>112</v>
      </c>
      <c r="C13" s="27" t="s">
        <v>360</v>
      </c>
      <c r="D13" s="27" t="s">
        <v>267</v>
      </c>
      <c r="E13" s="28">
        <v>220</v>
      </c>
      <c r="F13" s="27" t="s">
        <v>137</v>
      </c>
      <c r="G13" s="27" t="s">
        <v>361</v>
      </c>
      <c r="H13" s="29">
        <v>1</v>
      </c>
      <c r="I13" s="27" t="s">
        <v>136</v>
      </c>
      <c r="J13" s="27" t="s">
        <v>347</v>
      </c>
      <c r="K13" s="30">
        <f t="shared" si="0"/>
        <v>9</v>
      </c>
      <c r="L13" s="31">
        <f>IF(B13&lt;&gt;"Расход",0,IF(H13&lt;&gt;"",E13*H13,IFERROR(IF(VLOOKUP(D13,Категории!$A$3:$F$27,4,FALSE)="",0,E13*VLOOKUP(D13,Категории!$A$3:$F$27,4,FALSE)),0)))</f>
        <v>220</v>
      </c>
      <c r="M13" s="30" t="str">
        <f>IF(A13="","",IF(NOT(ISNUMBER(A13)),"ДАТА; ","")&amp;IF(NOT(ISNUMBER(E13)),"СУММА; ","")&amp;IF(AND(B13&lt;&gt;"",D13&lt;&gt;"",IFERROR(VLOOKUP(D13,Категории!$A$3:$B$27,2,FALSE),"")&lt;&gt;B13),"ТИП/КАТЕГОРИЯ; ","")&amp;IF(AND(B13="Доход",G13=""),"НЕТ № КВИТАНЦИИ; ","")&amp;IF(AND(B13="Расход",H13="",IFERROR(VLOOKUP(D13,Категории!$A$3:$D$27,4,FALSE),"")=""),"УКАЖИТЕ ДОЛЮ; ","")&amp;IF(COUNTIFS($A$5:$A$504,A13,$B$5:$B$504,B13,$C$5:$C$504,C13,$E$5:$E$504,E13)&gt;1,"ВОЗМОЖНЫЙ ДУБЛЬ; ","")&amp;IF(AND(A13&lt;&gt;"",A14&lt;&gt;"",A13&lt;A14),"ПОРЯДОК ДАТ; ",""))</f>
        <v/>
      </c>
      <c r="N13" s="30">
        <f>IF(A13="","",IF(Настройки_2026!$B$6="ДЕМО",1,IF(I13="ДЕМО",0,1)))</f>
        <v>1</v>
      </c>
    </row>
    <row r="14" spans="1:14" x14ac:dyDescent="0.25">
      <c r="A14" s="26">
        <v>46269</v>
      </c>
      <c r="B14" s="27" t="s">
        <v>110</v>
      </c>
      <c r="C14" s="27" t="s">
        <v>362</v>
      </c>
      <c r="D14" s="27" t="s">
        <v>250</v>
      </c>
      <c r="E14" s="28">
        <v>3400</v>
      </c>
      <c r="F14" s="27" t="s">
        <v>135</v>
      </c>
      <c r="G14" s="27" t="s">
        <v>363</v>
      </c>
      <c r="H14" s="29"/>
      <c r="I14" s="27" t="s">
        <v>136</v>
      </c>
      <c r="J14" s="27" t="s">
        <v>347</v>
      </c>
      <c r="K14" s="30">
        <f t="shared" si="0"/>
        <v>9</v>
      </c>
      <c r="L14" s="31">
        <f>IF(B14&lt;&gt;"Расход",0,IF(H14&lt;&gt;"",E14*H14,IFERROR(IF(VLOOKUP(D14,Категории!$A$3:$F$27,4,FALSE)="",0,E14*VLOOKUP(D14,Категории!$A$3:$F$27,4,FALSE)),0)))</f>
        <v>0</v>
      </c>
      <c r="M14" s="30" t="str">
        <f>IF(A14="","",IF(NOT(ISNUMBER(A14)),"ДАТА; ","")&amp;IF(NOT(ISNUMBER(E14)),"СУММА; ","")&amp;IF(AND(B14&lt;&gt;"",D14&lt;&gt;"",IFERROR(VLOOKUP(D14,Категории!$A$3:$B$27,2,FALSE),"")&lt;&gt;B14),"ТИП/КАТЕГОРИЯ; ","")&amp;IF(AND(B14="Доход",G14=""),"НЕТ № КВИТАНЦИИ; ","")&amp;IF(AND(B14="Расход",H14="",IFERROR(VLOOKUP(D14,Категории!$A$3:$D$27,4,FALSE),"")=""),"УКАЖИТЕ ДОЛЮ; ","")&amp;IF(COUNTIFS($A$5:$A$504,A14,$B$5:$B$504,B14,$C$5:$C$504,C14,$E$5:$E$504,E14)&gt;1,"ВОЗМОЖНЫЙ ДУБЛЬ; ","")&amp;IF(AND(A14&lt;&gt;"",A15&lt;&gt;"",A14&lt;A15),"ПОРЯДОК ДАТ; ",""))</f>
        <v/>
      </c>
      <c r="N14" s="30">
        <f>IF(A14="","",IF(Настройки_2026!$B$6="ДЕМО",1,IF(I14="ДЕМО",0,1)))</f>
        <v>1</v>
      </c>
    </row>
    <row r="15" spans="1:14" x14ac:dyDescent="0.25">
      <c r="A15" s="26">
        <v>46261</v>
      </c>
      <c r="B15" s="27" t="s">
        <v>116</v>
      </c>
      <c r="C15" s="27" t="s">
        <v>343</v>
      </c>
      <c r="D15" s="27" t="s">
        <v>322</v>
      </c>
      <c r="E15" s="28">
        <v>2200</v>
      </c>
      <c r="F15" s="27" t="s">
        <v>155</v>
      </c>
      <c r="G15" s="27"/>
      <c r="H15" s="29"/>
      <c r="I15" s="27" t="s">
        <v>136</v>
      </c>
      <c r="J15" s="27" t="s">
        <v>344</v>
      </c>
      <c r="K15" s="30">
        <f t="shared" si="0"/>
        <v>8</v>
      </c>
      <c r="L15" s="31">
        <f>IF(B15&lt;&gt;"Расход",0,IF(H15&lt;&gt;"",E15*H15,IFERROR(IF(VLOOKUP(D15,Категории!$A$3:$F$27,4,FALSE)="",0,E15*VLOOKUP(D15,Категории!$A$3:$F$27,4,FALSE)),0)))</f>
        <v>0</v>
      </c>
      <c r="M15" s="30" t="str">
        <f>IF(A15="","",IF(NOT(ISNUMBER(A15)),"ДАТА; ","")&amp;IF(NOT(ISNUMBER(E15)),"СУММА; ","")&amp;IF(AND(B15&lt;&gt;"",D15&lt;&gt;"",IFERROR(VLOOKUP(D15,Категории!$A$3:$B$27,2,FALSE),"")&lt;&gt;B15),"ТИП/КАТЕГОРИЯ; ","")&amp;IF(AND(B15="Доход",G15=""),"НЕТ № КВИТАНЦИИ; ","")&amp;IF(AND(B15="Расход",H15="",IFERROR(VLOOKUP(D15,Категории!$A$3:$D$27,4,FALSE),"")=""),"УКАЖИТЕ ДОЛЮ; ","")&amp;IF(COUNTIFS($A$5:$A$504,A15,$B$5:$B$504,B15,$C$5:$C$504,C15,$E$5:$E$504,E15)&gt;1,"ВОЗМОЖНЫЙ ДУБЛЬ; ","")&amp;IF(AND(A15&lt;&gt;"",A16&lt;&gt;"",A15&lt;A16),"ПОРЯДОК ДАТ; ",""))</f>
        <v/>
      </c>
      <c r="N15" s="30">
        <f>IF(A15="","",IF(Настройки_2026!$B$6="ДЕМО",1,IF(I15="ДЕМО",0,1)))</f>
        <v>1</v>
      </c>
    </row>
    <row r="16" spans="1:14" x14ac:dyDescent="0.25">
      <c r="A16" s="26">
        <v>46258</v>
      </c>
      <c r="B16" s="27" t="s">
        <v>112</v>
      </c>
      <c r="C16" s="27" t="s">
        <v>364</v>
      </c>
      <c r="D16" s="27" t="s">
        <v>288</v>
      </c>
      <c r="E16" s="28">
        <v>180</v>
      </c>
      <c r="F16" s="27" t="s">
        <v>137</v>
      </c>
      <c r="G16" s="27" t="s">
        <v>365</v>
      </c>
      <c r="H16" s="29"/>
      <c r="I16" s="27" t="s">
        <v>136</v>
      </c>
      <c r="J16" s="27" t="s">
        <v>347</v>
      </c>
      <c r="K16" s="30">
        <f t="shared" si="0"/>
        <v>8</v>
      </c>
      <c r="L16" s="31">
        <f>IF(B16&lt;&gt;"Расход",0,IF(H16&lt;&gt;"",E16*H16,IFERROR(IF(VLOOKUP(D16,Категории!$A$3:$F$27,4,FALSE)="",0,E16*VLOOKUP(D16,Категории!$A$3:$F$27,4,FALSE)),0)))</f>
        <v>0</v>
      </c>
      <c r="M16" s="30" t="str">
        <f>IF(A16="","",IF(NOT(ISNUMBER(A16)),"ДАТА; ","")&amp;IF(NOT(ISNUMBER(E16)),"СУММА; ","")&amp;IF(AND(B16&lt;&gt;"",D16&lt;&gt;"",IFERROR(VLOOKUP(D16,Категории!$A$3:$B$27,2,FALSE),"")&lt;&gt;B16),"ТИП/КАТЕГОРИЯ; ","")&amp;IF(AND(B16="Доход",G16=""),"НЕТ № КВИТАНЦИИ; ","")&amp;IF(AND(B16="Расход",H16="",IFERROR(VLOOKUP(D16,Категории!$A$3:$D$27,4,FALSE),"")=""),"УКАЖИТЕ ДОЛЮ; ","")&amp;IF(COUNTIFS($A$5:$A$504,A16,$B$5:$B$504,B16,$C$5:$C$504,C16,$E$5:$E$504,E16)&gt;1,"ВОЗМОЖНЫЙ ДУБЛЬ; ","")&amp;IF(AND(A16&lt;&gt;"",A17&lt;&gt;"",A16&lt;A17),"ПОРЯДОК ДАТ; ",""))</f>
        <v xml:space="preserve">УКАЖИТЕ ДОЛЮ; </v>
      </c>
      <c r="N16" s="30">
        <f>IF(A16="","",IF(Настройки_2026!$B$6="ДЕМО",1,IF(I16="ДЕМО",0,1)))</f>
        <v>1</v>
      </c>
    </row>
    <row r="17" spans="1:14" x14ac:dyDescent="0.25">
      <c r="A17" s="26">
        <v>46255</v>
      </c>
      <c r="B17" s="27" t="s">
        <v>110</v>
      </c>
      <c r="C17" s="27" t="s">
        <v>348</v>
      </c>
      <c r="D17" s="27" t="s">
        <v>254</v>
      </c>
      <c r="E17" s="28">
        <v>3000</v>
      </c>
      <c r="F17" s="27" t="s">
        <v>135</v>
      </c>
      <c r="G17" s="27" t="s">
        <v>366</v>
      </c>
      <c r="H17" s="29"/>
      <c r="I17" s="27" t="s">
        <v>136</v>
      </c>
      <c r="J17" s="27" t="s">
        <v>347</v>
      </c>
      <c r="K17" s="30">
        <f t="shared" si="0"/>
        <v>8</v>
      </c>
      <c r="L17" s="31">
        <f>IF(B17&lt;&gt;"Расход",0,IF(H17&lt;&gt;"",E17*H17,IFERROR(IF(VLOOKUP(D17,Категории!$A$3:$F$27,4,FALSE)="",0,E17*VLOOKUP(D17,Категории!$A$3:$F$27,4,FALSE)),0)))</f>
        <v>0</v>
      </c>
      <c r="M17" s="30" t="str">
        <f>IF(A17="","",IF(NOT(ISNUMBER(A17)),"ДАТА; ","")&amp;IF(NOT(ISNUMBER(E17)),"СУММА; ","")&amp;IF(AND(B17&lt;&gt;"",D17&lt;&gt;"",IFERROR(VLOOKUP(D17,Категории!$A$3:$B$27,2,FALSE),"")&lt;&gt;B17),"ТИП/КАТЕГОРИЯ; ","")&amp;IF(AND(B17="Доход",G17=""),"НЕТ № КВИТАНЦИИ; ","")&amp;IF(AND(B17="Расход",H17="",IFERROR(VLOOKUP(D17,Категории!$A$3:$D$27,4,FALSE),"")=""),"УКАЖИТЕ ДОЛЮ; ","")&amp;IF(COUNTIFS($A$5:$A$504,A17,$B$5:$B$504,B17,$C$5:$C$504,C17,$E$5:$E$504,E17)&gt;1,"ВОЗМОЖНЫЙ ДУБЛЬ; ","")&amp;IF(AND(A17&lt;&gt;"",A18&lt;&gt;"",A17&lt;A18),"ПОРЯДОК ДАТ; ",""))</f>
        <v/>
      </c>
      <c r="N17" s="30">
        <f>IF(A17="","",IF(Настройки_2026!$B$6="ДЕМО",1,IF(I17="ДЕМО",0,1)))</f>
        <v>1</v>
      </c>
    </row>
    <row r="18" spans="1:14" x14ac:dyDescent="0.25">
      <c r="A18" s="26">
        <v>46252</v>
      </c>
      <c r="B18" s="27" t="s">
        <v>114</v>
      </c>
      <c r="C18" s="27" t="s">
        <v>350</v>
      </c>
      <c r="D18" s="27" t="s">
        <v>316</v>
      </c>
      <c r="E18" s="28">
        <v>500</v>
      </c>
      <c r="F18" s="27" t="s">
        <v>155</v>
      </c>
      <c r="G18" s="27"/>
      <c r="H18" s="29"/>
      <c r="I18" s="27" t="s">
        <v>136</v>
      </c>
      <c r="J18" s="27" t="s">
        <v>351</v>
      </c>
      <c r="K18" s="30">
        <f t="shared" si="0"/>
        <v>8</v>
      </c>
      <c r="L18" s="31">
        <f>IF(B18&lt;&gt;"Расход",0,IF(H18&lt;&gt;"",E18*H18,IFERROR(IF(VLOOKUP(D18,Категории!$A$3:$F$27,4,FALSE)="",0,E18*VLOOKUP(D18,Категории!$A$3:$F$27,4,FALSE)),0)))</f>
        <v>0</v>
      </c>
      <c r="M18" s="30" t="str">
        <f>IF(A18="","",IF(NOT(ISNUMBER(A18)),"ДАТА; ","")&amp;IF(NOT(ISNUMBER(E18)),"СУММА; ","")&amp;IF(AND(B18&lt;&gt;"",D18&lt;&gt;"",IFERROR(VLOOKUP(D18,Категории!$A$3:$B$27,2,FALSE),"")&lt;&gt;B18),"ТИП/КАТЕГОРИЯ; ","")&amp;IF(AND(B18="Доход",G18=""),"НЕТ № КВИТАНЦИИ; ","")&amp;IF(AND(B18="Расход",H18="",IFERROR(VLOOKUP(D18,Категории!$A$3:$D$27,4,FALSE),"")=""),"УКАЖИТЕ ДОЛЮ; ","")&amp;IF(COUNTIFS($A$5:$A$504,A18,$B$5:$B$504,B18,$C$5:$C$504,C18,$E$5:$E$504,E18)&gt;1,"ВОЗМОЖНЫЙ ДУБЛЬ; ","")&amp;IF(AND(A18&lt;&gt;"",A19&lt;&gt;"",A18&lt;A19),"ПОРЯДОК ДАТ; ",""))</f>
        <v/>
      </c>
      <c r="N18" s="30">
        <f>IF(A18="","",IF(Настройки_2026!$B$6="ДЕМО",1,IF(I18="ДЕМО",0,1)))</f>
        <v>1</v>
      </c>
    </row>
    <row r="19" spans="1:14" x14ac:dyDescent="0.25">
      <c r="A19" s="26">
        <v>46251</v>
      </c>
      <c r="B19" s="27" t="s">
        <v>112</v>
      </c>
      <c r="C19" s="27" t="s">
        <v>352</v>
      </c>
      <c r="D19" s="27" t="s">
        <v>263</v>
      </c>
      <c r="E19" s="28">
        <v>690</v>
      </c>
      <c r="F19" s="27" t="s">
        <v>140</v>
      </c>
      <c r="G19" s="27" t="s">
        <v>367</v>
      </c>
      <c r="H19" s="29">
        <v>1</v>
      </c>
      <c r="I19" s="27" t="s">
        <v>136</v>
      </c>
      <c r="J19" s="27" t="s">
        <v>347</v>
      </c>
      <c r="K19" s="30">
        <f t="shared" si="0"/>
        <v>8</v>
      </c>
      <c r="L19" s="31">
        <f>IF(B19&lt;&gt;"Расход",0,IF(H19&lt;&gt;"",E19*H19,IFERROR(IF(VLOOKUP(D19,Категории!$A$3:$F$27,4,FALSE)="",0,E19*VLOOKUP(D19,Категории!$A$3:$F$27,4,FALSE)),0)))</f>
        <v>690</v>
      </c>
      <c r="M19" s="30" t="str">
        <f>IF(A19="","",IF(NOT(ISNUMBER(A19)),"ДАТА; ","")&amp;IF(NOT(ISNUMBER(E19)),"СУММА; ","")&amp;IF(AND(B19&lt;&gt;"",D19&lt;&gt;"",IFERROR(VLOOKUP(D19,Категории!$A$3:$B$27,2,FALSE),"")&lt;&gt;B19),"ТИП/КАТЕГОРИЯ; ","")&amp;IF(AND(B19="Доход",G19=""),"НЕТ № КВИТАНЦИИ; ","")&amp;IF(AND(B19="Расход",H19="",IFERROR(VLOOKUP(D19,Категории!$A$3:$D$27,4,FALSE),"")=""),"УКАЖИТЕ ДОЛЮ; ","")&amp;IF(COUNTIFS($A$5:$A$504,A19,$B$5:$B$504,B19,$C$5:$C$504,C19,$E$5:$E$504,E19)&gt;1,"ВОЗМОЖНЫЙ ДУБЛЬ; ","")&amp;IF(AND(A19&lt;&gt;"",A20&lt;&gt;"",A19&lt;A20),"ПОРЯДОК ДАТ; ",""))</f>
        <v/>
      </c>
      <c r="N19" s="30">
        <f>IF(A19="","",IF(Настройки_2026!$B$6="ДЕМО",1,IF(I19="ДЕМО",0,1)))</f>
        <v>1</v>
      </c>
    </row>
    <row r="20" spans="1:14" ht="25.5" x14ac:dyDescent="0.25">
      <c r="A20" s="26">
        <v>46249</v>
      </c>
      <c r="B20" s="27" t="s">
        <v>112</v>
      </c>
      <c r="C20" s="27" t="s">
        <v>368</v>
      </c>
      <c r="D20" s="27" t="s">
        <v>302</v>
      </c>
      <c r="E20" s="28">
        <v>120</v>
      </c>
      <c r="F20" s="27" t="s">
        <v>151</v>
      </c>
      <c r="G20" s="27" t="s">
        <v>369</v>
      </c>
      <c r="H20" s="29">
        <v>1</v>
      </c>
      <c r="I20" s="27" t="s">
        <v>136</v>
      </c>
      <c r="J20" s="27" t="s">
        <v>370</v>
      </c>
      <c r="K20" s="30">
        <f t="shared" si="0"/>
        <v>8</v>
      </c>
      <c r="L20" s="31">
        <f>IF(B20&lt;&gt;"Расход",0,IF(H20&lt;&gt;"",E20*H20,IFERROR(IF(VLOOKUP(D20,Категории!$A$3:$F$27,4,FALSE)="",0,E20*VLOOKUP(D20,Категории!$A$3:$F$27,4,FALSE)),0)))</f>
        <v>120</v>
      </c>
      <c r="M20" s="30" t="str">
        <f>IF(A20="","",IF(NOT(ISNUMBER(A20)),"ДАТА; ","")&amp;IF(NOT(ISNUMBER(E20)),"СУММА; ","")&amp;IF(AND(B20&lt;&gt;"",D20&lt;&gt;"",IFERROR(VLOOKUP(D20,Категории!$A$3:$B$27,2,FALSE),"")&lt;&gt;B20),"ТИП/КАТЕГОРИЯ; ","")&amp;IF(AND(B20="Доход",G20=""),"НЕТ № КВИТАНЦИИ; ","")&amp;IF(AND(B20="Расход",H20="",IFERROR(VLOOKUP(D20,Категории!$A$3:$D$27,4,FALSE),"")=""),"УКАЖИТЕ ДОЛЮ; ","")&amp;IF(COUNTIFS($A$5:$A$504,A20,$B$5:$B$504,B20,$C$5:$C$504,C20,$E$5:$E$504,E20)&gt;1,"ВОЗМОЖНЫЙ ДУБЛЬ; ","")&amp;IF(AND(A20&lt;&gt;"",A21&lt;&gt;"",A20&lt;A21),"ПОРЯДОК ДАТ; ",""))</f>
        <v/>
      </c>
      <c r="N20" s="30">
        <f>IF(A20="","",IF(Настройки_2026!$B$6="ДЕМО",1,IF(I20="ДЕМО",0,1)))</f>
        <v>1</v>
      </c>
    </row>
    <row r="21" spans="1:14" x14ac:dyDescent="0.25">
      <c r="A21" s="26">
        <v>46248</v>
      </c>
      <c r="B21" s="27" t="s">
        <v>110</v>
      </c>
      <c r="C21" s="27" t="s">
        <v>371</v>
      </c>
      <c r="D21" s="27" t="s">
        <v>250</v>
      </c>
      <c r="E21" s="28">
        <v>2700</v>
      </c>
      <c r="F21" s="27" t="s">
        <v>146</v>
      </c>
      <c r="G21" s="27" t="s">
        <v>372</v>
      </c>
      <c r="H21" s="29"/>
      <c r="I21" s="27" t="s">
        <v>136</v>
      </c>
      <c r="J21" s="27" t="s">
        <v>347</v>
      </c>
      <c r="K21" s="30">
        <f t="shared" si="0"/>
        <v>8</v>
      </c>
      <c r="L21" s="31">
        <f>IF(B21&lt;&gt;"Расход",0,IF(H21&lt;&gt;"",E21*H21,IFERROR(IF(VLOOKUP(D21,Категории!$A$3:$F$27,4,FALSE)="",0,E21*VLOOKUP(D21,Категории!$A$3:$F$27,4,FALSE)),0)))</f>
        <v>0</v>
      </c>
      <c r="M21" s="30" t="str">
        <f>IF(A21="","",IF(NOT(ISNUMBER(A21)),"ДАТА; ","")&amp;IF(NOT(ISNUMBER(E21)),"СУММА; ","")&amp;IF(AND(B21&lt;&gt;"",D21&lt;&gt;"",IFERROR(VLOOKUP(D21,Категории!$A$3:$B$27,2,FALSE),"")&lt;&gt;B21),"ТИП/КАТЕГОРИЯ; ","")&amp;IF(AND(B21="Доход",G21=""),"НЕТ № КВИТАНЦИИ; ","")&amp;IF(AND(B21="Расход",H21="",IFERROR(VLOOKUP(D21,Категории!$A$3:$D$27,4,FALSE),"")=""),"УКАЖИТЕ ДОЛЮ; ","")&amp;IF(COUNTIFS($A$5:$A$504,A21,$B$5:$B$504,B21,$C$5:$C$504,C21,$E$5:$E$504,E21)&gt;1,"ВОЗМОЖНЫЙ ДУБЛЬ; ","")&amp;IF(AND(A21&lt;&gt;"",A22&lt;&gt;"",A21&lt;A22),"ПОРЯДОК ДАТ; ",""))</f>
        <v/>
      </c>
      <c r="N21" s="30">
        <f>IF(A21="","",IF(Настройки_2026!$B$6="ДЕМО",1,IF(I21="ДЕМО",0,1)))</f>
        <v>1</v>
      </c>
    </row>
    <row r="22" spans="1:14" x14ac:dyDescent="0.25">
      <c r="A22" s="26">
        <v>46247</v>
      </c>
      <c r="B22" s="27" t="s">
        <v>116</v>
      </c>
      <c r="C22" s="27" t="s">
        <v>329</v>
      </c>
      <c r="D22" s="27" t="s">
        <v>329</v>
      </c>
      <c r="E22" s="28">
        <v>500</v>
      </c>
      <c r="F22" s="27" t="s">
        <v>140</v>
      </c>
      <c r="G22" s="27"/>
      <c r="H22" s="29"/>
      <c r="I22" s="27" t="s">
        <v>136</v>
      </c>
      <c r="J22" s="27" t="s">
        <v>373</v>
      </c>
      <c r="K22" s="30">
        <f t="shared" si="0"/>
        <v>8</v>
      </c>
      <c r="L22" s="31">
        <f>IF(B22&lt;&gt;"Расход",0,IF(H22&lt;&gt;"",E22*H22,IFERROR(IF(VLOOKUP(D22,Категории!$A$3:$F$27,4,FALSE)="",0,E22*VLOOKUP(D22,Категории!$A$3:$F$27,4,FALSE)),0)))</f>
        <v>0</v>
      </c>
      <c r="M22" s="30" t="str">
        <f>IF(A22="","",IF(NOT(ISNUMBER(A22)),"ДАТА; ","")&amp;IF(NOT(ISNUMBER(E22)),"СУММА; ","")&amp;IF(AND(B22&lt;&gt;"",D22&lt;&gt;"",IFERROR(VLOOKUP(D22,Категории!$A$3:$B$27,2,FALSE),"")&lt;&gt;B22),"ТИП/КАТЕГОРИЯ; ","")&amp;IF(AND(B22="Доход",G22=""),"НЕТ № КВИТАНЦИИ; ","")&amp;IF(AND(B22="Расход",H22="",IFERROR(VLOOKUP(D22,Категории!$A$3:$D$27,4,FALSE),"")=""),"УКАЖИТЕ ДОЛЮ; ","")&amp;IF(COUNTIFS($A$5:$A$504,A22,$B$5:$B$504,B22,$C$5:$C$504,C22,$E$5:$E$504,E22)&gt;1,"ВОЗМОЖНЫЙ ДУБЛЬ; ","")&amp;IF(AND(A22&lt;&gt;"",A23&lt;&gt;"",A22&lt;A23),"ПОРЯДОК ДАТ; ",""))</f>
        <v/>
      </c>
      <c r="N22" s="30">
        <f>IF(A22="","",IF(Настройки_2026!$B$6="ДЕМО",1,IF(I22="ДЕМО",0,1)))</f>
        <v>1</v>
      </c>
    </row>
    <row r="23" spans="1:14" x14ac:dyDescent="0.25">
      <c r="A23" s="26">
        <v>46246</v>
      </c>
      <c r="B23" s="27" t="s">
        <v>112</v>
      </c>
      <c r="C23" s="27" t="s">
        <v>374</v>
      </c>
      <c r="D23" s="27" t="s">
        <v>276</v>
      </c>
      <c r="E23" s="28">
        <v>600</v>
      </c>
      <c r="F23" s="27" t="s">
        <v>135</v>
      </c>
      <c r="G23" s="27" t="s">
        <v>375</v>
      </c>
      <c r="H23" s="29">
        <v>1</v>
      </c>
      <c r="I23" s="27" t="s">
        <v>136</v>
      </c>
      <c r="J23" s="27" t="s">
        <v>347</v>
      </c>
      <c r="K23" s="30">
        <f t="shared" si="0"/>
        <v>8</v>
      </c>
      <c r="L23" s="31">
        <f>IF(B23&lt;&gt;"Расход",0,IF(H23&lt;&gt;"",E23*H23,IFERROR(IF(VLOOKUP(D23,Категории!$A$3:$F$27,4,FALSE)="",0,E23*VLOOKUP(D23,Категории!$A$3:$F$27,4,FALSE)),0)))</f>
        <v>600</v>
      </c>
      <c r="M23" s="30" t="str">
        <f>IF(A23="","",IF(NOT(ISNUMBER(A23)),"ДАТА; ","")&amp;IF(NOT(ISNUMBER(E23)),"СУММА; ","")&amp;IF(AND(B23&lt;&gt;"",D23&lt;&gt;"",IFERROR(VLOOKUP(D23,Категории!$A$3:$B$27,2,FALSE),"")&lt;&gt;B23),"ТИП/КАТЕГОРИЯ; ","")&amp;IF(AND(B23="Доход",G23=""),"НЕТ № КВИТАНЦИИ; ","")&amp;IF(AND(B23="Расход",H23="",IFERROR(VLOOKUP(D23,Категории!$A$3:$D$27,4,FALSE),"")=""),"УКАЖИТЕ ДОЛЮ; ","")&amp;IF(COUNTIFS($A$5:$A$504,A23,$B$5:$B$504,B23,$C$5:$C$504,C23,$E$5:$E$504,E23)&gt;1,"ВОЗМОЖНЫЙ ДУБЛЬ; ","")&amp;IF(AND(A23&lt;&gt;"",A24&lt;&gt;"",A23&lt;A24),"ПОРЯДОК ДАТ; ",""))</f>
        <v/>
      </c>
      <c r="N23" s="30">
        <f>IF(A23="","",IF(Настройки_2026!$B$6="ДЕМО",1,IF(I23="ДЕМО",0,1)))</f>
        <v>1</v>
      </c>
    </row>
    <row r="24" spans="1:14" ht="25.5" x14ac:dyDescent="0.25">
      <c r="A24" s="26">
        <v>46244</v>
      </c>
      <c r="B24" s="27" t="s">
        <v>114</v>
      </c>
      <c r="C24" s="27" t="s">
        <v>356</v>
      </c>
      <c r="D24" s="27" t="s">
        <v>313</v>
      </c>
      <c r="E24" s="28">
        <v>650</v>
      </c>
      <c r="F24" s="27" t="s">
        <v>155</v>
      </c>
      <c r="G24" s="27"/>
      <c r="H24" s="29"/>
      <c r="I24" s="27" t="s">
        <v>136</v>
      </c>
      <c r="J24" s="27" t="s">
        <v>357</v>
      </c>
      <c r="K24" s="30">
        <f t="shared" si="0"/>
        <v>8</v>
      </c>
      <c r="L24" s="31">
        <f>IF(B24&lt;&gt;"Расход",0,IF(H24&lt;&gt;"",E24*H24,IFERROR(IF(VLOOKUP(D24,Категории!$A$3:$F$27,4,FALSE)="",0,E24*VLOOKUP(D24,Категории!$A$3:$F$27,4,FALSE)),0)))</f>
        <v>0</v>
      </c>
      <c r="M24" s="30" t="str">
        <f>IF(A24="","",IF(NOT(ISNUMBER(A24)),"ДАТА; ","")&amp;IF(NOT(ISNUMBER(E24)),"СУММА; ","")&amp;IF(AND(B24&lt;&gt;"",D24&lt;&gt;"",IFERROR(VLOOKUP(D24,Категории!$A$3:$B$27,2,FALSE),"")&lt;&gt;B24),"ТИП/КАТЕГОРИЯ; ","")&amp;IF(AND(B24="Доход",G24=""),"НЕТ № КВИТАНЦИИ; ","")&amp;IF(AND(B24="Расход",H24="",IFERROR(VLOOKUP(D24,Категории!$A$3:$D$27,4,FALSE),"")=""),"УКАЖИТЕ ДОЛЮ; ","")&amp;IF(COUNTIFS($A$5:$A$504,A24,$B$5:$B$504,B24,$C$5:$C$504,C24,$E$5:$E$504,E24)&gt;1,"ВОЗМОЖНЫЙ ДУБЛЬ; ","")&amp;IF(AND(A24&lt;&gt;"",A25&lt;&gt;"",A24&lt;A25),"ПОРЯДОК ДАТ; ",""))</f>
        <v/>
      </c>
      <c r="N24" s="30">
        <f>IF(A24="","",IF(Настройки_2026!$B$6="ДЕМО",1,IF(I24="ДЕМО",0,1)))</f>
        <v>1</v>
      </c>
    </row>
    <row r="25" spans="1:14" x14ac:dyDescent="0.25">
      <c r="A25" s="26">
        <v>46242</v>
      </c>
      <c r="B25" s="27" t="s">
        <v>112</v>
      </c>
      <c r="C25" s="27" t="s">
        <v>360</v>
      </c>
      <c r="D25" s="27" t="s">
        <v>267</v>
      </c>
      <c r="E25" s="28">
        <v>220</v>
      </c>
      <c r="F25" s="27" t="s">
        <v>137</v>
      </c>
      <c r="G25" s="27" t="s">
        <v>376</v>
      </c>
      <c r="H25" s="29">
        <v>1</v>
      </c>
      <c r="I25" s="27" t="s">
        <v>136</v>
      </c>
      <c r="J25" s="27" t="s">
        <v>347</v>
      </c>
      <c r="K25" s="30">
        <f t="shared" si="0"/>
        <v>8</v>
      </c>
      <c r="L25" s="31">
        <f>IF(B25&lt;&gt;"Расход",0,IF(H25&lt;&gt;"",E25*H25,IFERROR(IF(VLOOKUP(D25,Категории!$A$3:$F$27,4,FALSE)="",0,E25*VLOOKUP(D25,Категории!$A$3:$F$27,4,FALSE)),0)))</f>
        <v>220</v>
      </c>
      <c r="M25" s="30" t="str">
        <f>IF(A25="","",IF(NOT(ISNUMBER(A25)),"ДАТА; ","")&amp;IF(NOT(ISNUMBER(E25)),"СУММА; ","")&amp;IF(AND(B25&lt;&gt;"",D25&lt;&gt;"",IFERROR(VLOOKUP(D25,Категории!$A$3:$B$27,2,FALSE),"")&lt;&gt;B25),"ТИП/КАТЕГОРИЯ; ","")&amp;IF(AND(B25="Доход",G25=""),"НЕТ № КВИТАНЦИИ; ","")&amp;IF(AND(B25="Расход",H25="",IFERROR(VLOOKUP(D25,Категории!$A$3:$D$27,4,FALSE),"")=""),"УКАЖИТЕ ДОЛЮ; ","")&amp;IF(COUNTIFS($A$5:$A$504,A25,$B$5:$B$504,B25,$C$5:$C$504,C25,$E$5:$E$504,E25)&gt;1,"ВОЗМОЖНЫЙ ДУБЛЬ; ","")&amp;IF(AND(A25&lt;&gt;"",A26&lt;&gt;"",A25&lt;A26),"ПОРЯДОК ДАТ; ",""))</f>
        <v/>
      </c>
      <c r="N25" s="30">
        <f>IF(A25="","",IF(Настройки_2026!$B$6="ДЕМО",1,IF(I25="ДЕМО",0,1)))</f>
        <v>1</v>
      </c>
    </row>
    <row r="26" spans="1:14" x14ac:dyDescent="0.25">
      <c r="A26" s="26">
        <v>46240</v>
      </c>
      <c r="B26" s="27" t="s">
        <v>110</v>
      </c>
      <c r="C26" s="27" t="s">
        <v>377</v>
      </c>
      <c r="D26" s="27" t="s">
        <v>250</v>
      </c>
      <c r="E26" s="28">
        <v>3900</v>
      </c>
      <c r="F26" s="27" t="s">
        <v>135</v>
      </c>
      <c r="G26" s="27" t="s">
        <v>378</v>
      </c>
      <c r="H26" s="29"/>
      <c r="I26" s="27" t="s">
        <v>136</v>
      </c>
      <c r="J26" s="27" t="s">
        <v>347</v>
      </c>
      <c r="K26" s="30">
        <f t="shared" si="0"/>
        <v>8</v>
      </c>
      <c r="L26" s="31">
        <f>IF(B26&lt;&gt;"Расход",0,IF(H26&lt;&gt;"",E26*H26,IFERROR(IF(VLOOKUP(D26,Категории!$A$3:$F$27,4,FALSE)="",0,E26*VLOOKUP(D26,Категории!$A$3:$F$27,4,FALSE)),0)))</f>
        <v>0</v>
      </c>
      <c r="M26" s="30" t="str">
        <f>IF(A26="","",IF(NOT(ISNUMBER(A26)),"ДАТА; ","")&amp;IF(NOT(ISNUMBER(E26)),"СУММА; ","")&amp;IF(AND(B26&lt;&gt;"",D26&lt;&gt;"",IFERROR(VLOOKUP(D26,Категории!$A$3:$B$27,2,FALSE),"")&lt;&gt;B26),"ТИП/КАТЕГОРИЯ; ","")&amp;IF(AND(B26="Доход",G26=""),"НЕТ № КВИТАНЦИИ; ","")&amp;IF(AND(B26="Расход",H26="",IFERROR(VLOOKUP(D26,Категории!$A$3:$D$27,4,FALSE),"")=""),"УКАЖИТЕ ДОЛЮ; ","")&amp;IF(COUNTIFS($A$5:$A$504,A26,$B$5:$B$504,B26,$C$5:$C$504,C26,$E$5:$E$504,E26)&gt;1,"ВОЗМОЖНЫЙ ДУБЛЬ; ","")&amp;IF(AND(A26&lt;&gt;"",A27&lt;&gt;"",A26&lt;A27),"ПОРЯДОК ДАТ; ",""))</f>
        <v/>
      </c>
      <c r="N26" s="30">
        <f>IF(A26="","",IF(Настройки_2026!$B$6="ДЕМО",1,IF(I26="ДЕМО",0,1)))</f>
        <v>1</v>
      </c>
    </row>
    <row r="27" spans="1:14" x14ac:dyDescent="0.25">
      <c r="A27" s="26">
        <v>46230</v>
      </c>
      <c r="B27" s="27" t="s">
        <v>116</v>
      </c>
      <c r="C27" s="27" t="s">
        <v>343</v>
      </c>
      <c r="D27" s="27" t="s">
        <v>322</v>
      </c>
      <c r="E27" s="28">
        <v>2150</v>
      </c>
      <c r="F27" s="27" t="s">
        <v>155</v>
      </c>
      <c r="G27" s="27"/>
      <c r="H27" s="29"/>
      <c r="I27" s="27" t="s">
        <v>136</v>
      </c>
      <c r="J27" s="27" t="s">
        <v>344</v>
      </c>
      <c r="K27" s="30">
        <f t="shared" si="0"/>
        <v>7</v>
      </c>
      <c r="L27" s="31">
        <f>IF(B27&lt;&gt;"Расход",0,IF(H27&lt;&gt;"",E27*H27,IFERROR(IF(VLOOKUP(D27,Категории!$A$3:$F$27,4,FALSE)="",0,E27*VLOOKUP(D27,Категории!$A$3:$F$27,4,FALSE)),0)))</f>
        <v>0</v>
      </c>
      <c r="M27" s="30" t="str">
        <f>IF(A27="","",IF(NOT(ISNUMBER(A27)),"ДАТА; ","")&amp;IF(NOT(ISNUMBER(E27)),"СУММА; ","")&amp;IF(AND(B27&lt;&gt;"",D27&lt;&gt;"",IFERROR(VLOOKUP(D27,Категории!$A$3:$B$27,2,FALSE),"")&lt;&gt;B27),"ТИП/КАТЕГОРИЯ; ","")&amp;IF(AND(B27="Доход",G27=""),"НЕТ № КВИТАНЦИИ; ","")&amp;IF(AND(B27="Расход",H27="",IFERROR(VLOOKUP(D27,Категории!$A$3:$D$27,4,FALSE),"")=""),"УКАЖИТЕ ДОЛЮ; ","")&amp;IF(COUNTIFS($A$5:$A$504,A27,$B$5:$B$504,B27,$C$5:$C$504,C27,$E$5:$E$504,E27)&gt;1,"ВОЗМОЖНЫЙ ДУБЛЬ; ","")&amp;IF(AND(A27&lt;&gt;"",A28&lt;&gt;"",A27&lt;A28),"ПОРЯДОК ДАТ; ",""))</f>
        <v/>
      </c>
      <c r="N27" s="30">
        <f>IF(A27="","",IF(Настройки_2026!$B$6="ДЕМО",1,IF(I27="ДЕМО",0,1)))</f>
        <v>1</v>
      </c>
    </row>
    <row r="28" spans="1:14" x14ac:dyDescent="0.25">
      <c r="A28" s="26">
        <v>46227</v>
      </c>
      <c r="B28" s="27" t="s">
        <v>112</v>
      </c>
      <c r="C28" s="27" t="s">
        <v>379</v>
      </c>
      <c r="D28" s="27" t="s">
        <v>292</v>
      </c>
      <c r="E28" s="28">
        <v>310</v>
      </c>
      <c r="F28" s="27" t="s">
        <v>137</v>
      </c>
      <c r="G28" s="27" t="s">
        <v>380</v>
      </c>
      <c r="H28" s="29"/>
      <c r="I28" s="27" t="s">
        <v>136</v>
      </c>
      <c r="J28" s="27" t="s">
        <v>347</v>
      </c>
      <c r="K28" s="30">
        <f t="shared" si="0"/>
        <v>7</v>
      </c>
      <c r="L28" s="31">
        <f>IF(B28&lt;&gt;"Расход",0,IF(H28&lt;&gt;"",E28*H28,IFERROR(IF(VLOOKUP(D28,Категории!$A$3:$F$27,4,FALSE)="",0,E28*VLOOKUP(D28,Категории!$A$3:$F$27,4,FALSE)),0)))</f>
        <v>0</v>
      </c>
      <c r="M28" s="30" t="str">
        <f>IF(A28="","",IF(NOT(ISNUMBER(A28)),"ДАТА; ","")&amp;IF(NOT(ISNUMBER(E28)),"СУММА; ","")&amp;IF(AND(B28&lt;&gt;"",D28&lt;&gt;"",IFERROR(VLOOKUP(D28,Категории!$A$3:$B$27,2,FALSE),"")&lt;&gt;B28),"ТИП/КАТЕГОРИЯ; ","")&amp;IF(AND(B28="Доход",G28=""),"НЕТ № КВИТАНЦИИ; ","")&amp;IF(AND(B28="Расход",H28="",IFERROR(VLOOKUP(D28,Категории!$A$3:$D$27,4,FALSE),"")=""),"УКАЖИТЕ ДОЛЮ; ","")&amp;IF(COUNTIFS($A$5:$A$504,A28,$B$5:$B$504,B28,$C$5:$C$504,C28,$E$5:$E$504,E28)&gt;1,"ВОЗМОЖНЫЙ ДУБЛЬ; ","")&amp;IF(AND(A28&lt;&gt;"",A29&lt;&gt;"",A28&lt;A29),"ПОРЯДОК ДАТ; ",""))</f>
        <v xml:space="preserve">УКАЖИТЕ ДОЛЮ; </v>
      </c>
      <c r="N28" s="30">
        <f>IF(A28="","",IF(Настройки_2026!$B$6="ДЕМО",1,IF(I28="ДЕМО",0,1)))</f>
        <v>1</v>
      </c>
    </row>
    <row r="29" spans="1:14" x14ac:dyDescent="0.25">
      <c r="A29" s="26">
        <v>46224</v>
      </c>
      <c r="B29" s="27" t="s">
        <v>110</v>
      </c>
      <c r="C29" s="27" t="s">
        <v>348</v>
      </c>
      <c r="D29" s="27" t="s">
        <v>254</v>
      </c>
      <c r="E29" s="28">
        <v>3000</v>
      </c>
      <c r="F29" s="27" t="s">
        <v>135</v>
      </c>
      <c r="G29" s="27" t="s">
        <v>381</v>
      </c>
      <c r="H29" s="29"/>
      <c r="I29" s="27" t="s">
        <v>136</v>
      </c>
      <c r="J29" s="27" t="s">
        <v>347</v>
      </c>
      <c r="K29" s="30">
        <f t="shared" si="0"/>
        <v>7</v>
      </c>
      <c r="L29" s="31">
        <f>IF(B29&lt;&gt;"Расход",0,IF(H29&lt;&gt;"",E29*H29,IFERROR(IF(VLOOKUP(D29,Категории!$A$3:$F$27,4,FALSE)="",0,E29*VLOOKUP(D29,Категории!$A$3:$F$27,4,FALSE)),0)))</f>
        <v>0</v>
      </c>
      <c r="M29" s="30" t="str">
        <f>IF(A29="","",IF(NOT(ISNUMBER(A29)),"ДАТА; ","")&amp;IF(NOT(ISNUMBER(E29)),"СУММА; ","")&amp;IF(AND(B29&lt;&gt;"",D29&lt;&gt;"",IFERROR(VLOOKUP(D29,Категории!$A$3:$B$27,2,FALSE),"")&lt;&gt;B29),"ТИП/КАТЕГОРИЯ; ","")&amp;IF(AND(B29="Доход",G29=""),"НЕТ № КВИТАНЦИИ; ","")&amp;IF(AND(B29="Расход",H29="",IFERROR(VLOOKUP(D29,Категории!$A$3:$D$27,4,FALSE),"")=""),"УКАЖИТЕ ДОЛЮ; ","")&amp;IF(COUNTIFS($A$5:$A$504,A29,$B$5:$B$504,B29,$C$5:$C$504,C29,$E$5:$E$504,E29)&gt;1,"ВОЗМОЖНЫЙ ДУБЛЬ; ","")&amp;IF(AND(A29&lt;&gt;"",A30&lt;&gt;"",A29&lt;A30),"ПОРЯДОК ДАТ; ",""))</f>
        <v/>
      </c>
      <c r="N29" s="30">
        <f>IF(A29="","",IF(Настройки_2026!$B$6="ДЕМО",1,IF(I29="ДЕМО",0,1)))</f>
        <v>1</v>
      </c>
    </row>
    <row r="30" spans="1:14" x14ac:dyDescent="0.25">
      <c r="A30" s="26">
        <v>46221</v>
      </c>
      <c r="B30" s="27" t="s">
        <v>114</v>
      </c>
      <c r="C30" s="27" t="s">
        <v>350</v>
      </c>
      <c r="D30" s="27" t="s">
        <v>316</v>
      </c>
      <c r="E30" s="28">
        <v>500</v>
      </c>
      <c r="F30" s="27" t="s">
        <v>155</v>
      </c>
      <c r="G30" s="27"/>
      <c r="H30" s="29"/>
      <c r="I30" s="27" t="s">
        <v>136</v>
      </c>
      <c r="J30" s="27" t="s">
        <v>351</v>
      </c>
      <c r="K30" s="30">
        <f t="shared" si="0"/>
        <v>7</v>
      </c>
      <c r="L30" s="31">
        <f>IF(B30&lt;&gt;"Расход",0,IF(H30&lt;&gt;"",E30*H30,IFERROR(IF(VLOOKUP(D30,Категории!$A$3:$F$27,4,FALSE)="",0,E30*VLOOKUP(D30,Категории!$A$3:$F$27,4,FALSE)),0)))</f>
        <v>0</v>
      </c>
      <c r="M30" s="30" t="str">
        <f>IF(A30="","",IF(NOT(ISNUMBER(A30)),"ДАТА; ","")&amp;IF(NOT(ISNUMBER(E30)),"СУММА; ","")&amp;IF(AND(B30&lt;&gt;"",D30&lt;&gt;"",IFERROR(VLOOKUP(D30,Категории!$A$3:$B$27,2,FALSE),"")&lt;&gt;B30),"ТИП/КАТЕГОРИЯ; ","")&amp;IF(AND(B30="Доход",G30=""),"НЕТ № КВИТАНЦИИ; ","")&amp;IF(AND(B30="Расход",H30="",IFERROR(VLOOKUP(D30,Категории!$A$3:$D$27,4,FALSE),"")=""),"УКАЖИТЕ ДОЛЮ; ","")&amp;IF(COUNTIFS($A$5:$A$504,A30,$B$5:$B$504,B30,$C$5:$C$504,C30,$E$5:$E$504,E30)&gt;1,"ВОЗМОЖНЫЙ ДУБЛЬ; ","")&amp;IF(AND(A30&lt;&gt;"",A31&lt;&gt;"",A30&lt;A31),"ПОРЯДОК ДАТ; ",""))</f>
        <v/>
      </c>
      <c r="N30" s="30">
        <f>IF(A30="","",IF(Настройки_2026!$B$6="ДЕМО",1,IF(I30="ДЕМО",0,1)))</f>
        <v>1</v>
      </c>
    </row>
    <row r="31" spans="1:14" x14ac:dyDescent="0.25">
      <c r="A31" s="26">
        <v>46220</v>
      </c>
      <c r="B31" s="27" t="s">
        <v>112</v>
      </c>
      <c r="C31" s="27" t="s">
        <v>352</v>
      </c>
      <c r="D31" s="27" t="s">
        <v>263</v>
      </c>
      <c r="E31" s="28">
        <v>820</v>
      </c>
      <c r="F31" s="27" t="s">
        <v>140</v>
      </c>
      <c r="G31" s="27" t="s">
        <v>382</v>
      </c>
      <c r="H31" s="29">
        <v>1</v>
      </c>
      <c r="I31" s="27" t="s">
        <v>136</v>
      </c>
      <c r="J31" s="27" t="s">
        <v>347</v>
      </c>
      <c r="K31" s="30">
        <f t="shared" si="0"/>
        <v>7</v>
      </c>
      <c r="L31" s="31">
        <f>IF(B31&lt;&gt;"Расход",0,IF(H31&lt;&gt;"",E31*H31,IFERROR(IF(VLOOKUP(D31,Категории!$A$3:$F$27,4,FALSE)="",0,E31*VLOOKUP(D31,Категории!$A$3:$F$27,4,FALSE)),0)))</f>
        <v>820</v>
      </c>
      <c r="M31" s="30" t="str">
        <f>IF(A31="","",IF(NOT(ISNUMBER(A31)),"ДАТА; ","")&amp;IF(NOT(ISNUMBER(E31)),"СУММА; ","")&amp;IF(AND(B31&lt;&gt;"",D31&lt;&gt;"",IFERROR(VLOOKUP(D31,Категории!$A$3:$B$27,2,FALSE),"")&lt;&gt;B31),"ТИП/КАТЕГОРИЯ; ","")&amp;IF(AND(B31="Доход",G31=""),"НЕТ № КВИТАНЦИИ; ","")&amp;IF(AND(B31="Расход",H31="",IFERROR(VLOOKUP(D31,Категории!$A$3:$D$27,4,FALSE),"")=""),"УКАЖИТЕ ДОЛЮ; ","")&amp;IF(COUNTIFS($A$5:$A$504,A31,$B$5:$B$504,B31,$C$5:$C$504,C31,$E$5:$E$504,E31)&gt;1,"ВОЗМОЖНЫЙ ДУБЛЬ; ","")&amp;IF(AND(A31&lt;&gt;"",A32&lt;&gt;"",A31&lt;A32),"ПОРЯДОК ДАТ; ",""))</f>
        <v/>
      </c>
      <c r="N31" s="30">
        <f>IF(A31="","",IF(Настройки_2026!$B$6="ДЕМО",1,IF(I31="ДЕМО",0,1)))</f>
        <v>1</v>
      </c>
    </row>
    <row r="32" spans="1:14" x14ac:dyDescent="0.25">
      <c r="A32" s="26">
        <v>46217</v>
      </c>
      <c r="B32" s="27" t="s">
        <v>110</v>
      </c>
      <c r="C32" s="27" t="s">
        <v>354</v>
      </c>
      <c r="D32" s="27" t="s">
        <v>250</v>
      </c>
      <c r="E32" s="28">
        <v>2500</v>
      </c>
      <c r="F32" s="27" t="s">
        <v>146</v>
      </c>
      <c r="G32" s="27" t="s">
        <v>383</v>
      </c>
      <c r="H32" s="29"/>
      <c r="I32" s="27" t="s">
        <v>136</v>
      </c>
      <c r="J32" s="27" t="s">
        <v>347</v>
      </c>
      <c r="K32" s="30">
        <f t="shared" si="0"/>
        <v>7</v>
      </c>
      <c r="L32" s="31">
        <f>IF(B32&lt;&gt;"Расход",0,IF(H32&lt;&gt;"",E32*H32,IFERROR(IF(VLOOKUP(D32,Категории!$A$3:$F$27,4,FALSE)="",0,E32*VLOOKUP(D32,Категории!$A$3:$F$27,4,FALSE)),0)))</f>
        <v>0</v>
      </c>
      <c r="M32" s="30" t="str">
        <f>IF(A32="","",IF(NOT(ISNUMBER(A32)),"ДАТА; ","")&amp;IF(NOT(ISNUMBER(E32)),"СУММА; ","")&amp;IF(AND(B32&lt;&gt;"",D32&lt;&gt;"",IFERROR(VLOOKUP(D32,Категории!$A$3:$B$27,2,FALSE),"")&lt;&gt;B32),"ТИП/КАТЕГОРИЯ; ","")&amp;IF(AND(B32="Доход",G32=""),"НЕТ № КВИТАНЦИИ; ","")&amp;IF(AND(B32="Расход",H32="",IFERROR(VLOOKUP(D32,Категории!$A$3:$D$27,4,FALSE),"")=""),"УКАЖИТЕ ДОЛЮ; ","")&amp;IF(COUNTIFS($A$5:$A$504,A32,$B$5:$B$504,B32,$C$5:$C$504,C32,$E$5:$E$504,E32)&gt;1,"ВОЗМОЖНЫЙ ДУБЛЬ; ","")&amp;IF(AND(A32&lt;&gt;"",A33&lt;&gt;"",A32&lt;A33),"ПОРЯДОК ДАТ; ",""))</f>
        <v/>
      </c>
      <c r="N32" s="30">
        <f>IF(A32="","",IF(Настройки_2026!$B$6="ДЕМО",1,IF(I32="ДЕМО",0,1)))</f>
        <v>1</v>
      </c>
    </row>
    <row r="33" spans="1:14" x14ac:dyDescent="0.25">
      <c r="A33" s="26">
        <v>46215</v>
      </c>
      <c r="B33" s="27" t="s">
        <v>112</v>
      </c>
      <c r="C33" s="27" t="s">
        <v>358</v>
      </c>
      <c r="D33" s="27" t="s">
        <v>270</v>
      </c>
      <c r="E33" s="28">
        <v>540</v>
      </c>
      <c r="F33" s="27" t="s">
        <v>137</v>
      </c>
      <c r="G33" s="27" t="s">
        <v>384</v>
      </c>
      <c r="H33" s="29">
        <v>1</v>
      </c>
      <c r="I33" s="27" t="s">
        <v>136</v>
      </c>
      <c r="J33" s="27" t="s">
        <v>347</v>
      </c>
      <c r="K33" s="30">
        <f t="shared" si="0"/>
        <v>7</v>
      </c>
      <c r="L33" s="31">
        <f>IF(B33&lt;&gt;"Расход",0,IF(H33&lt;&gt;"",E33*H33,IFERROR(IF(VLOOKUP(D33,Категории!$A$3:$F$27,4,FALSE)="",0,E33*VLOOKUP(D33,Категории!$A$3:$F$27,4,FALSE)),0)))</f>
        <v>540</v>
      </c>
      <c r="M33" s="30" t="str">
        <f>IF(A33="","",IF(NOT(ISNUMBER(A33)),"ДАТА; ","")&amp;IF(NOT(ISNUMBER(E33)),"СУММА; ","")&amp;IF(AND(B33&lt;&gt;"",D33&lt;&gt;"",IFERROR(VLOOKUP(D33,Категории!$A$3:$B$27,2,FALSE),"")&lt;&gt;B33),"ТИП/КАТЕГОРИЯ; ","")&amp;IF(AND(B33="Доход",G33=""),"НЕТ № КВИТАНЦИИ; ","")&amp;IF(AND(B33="Расход",H33="",IFERROR(VLOOKUP(D33,Категории!$A$3:$D$27,4,FALSE),"")=""),"УКАЖИТЕ ДОЛЮ; ","")&amp;IF(COUNTIFS($A$5:$A$504,A33,$B$5:$B$504,B33,$C$5:$C$504,C33,$E$5:$E$504,E33)&gt;1,"ВОЗМОЖНЫЙ ДУБЛЬ; ","")&amp;IF(AND(A33&lt;&gt;"",A34&lt;&gt;"",A33&lt;A34),"ПОРЯДОК ДАТ; ",""))</f>
        <v/>
      </c>
      <c r="N33" s="30">
        <f>IF(A33="","",IF(Настройки_2026!$B$6="ДЕМО",1,IF(I33="ДЕМО",0,1)))</f>
        <v>1</v>
      </c>
    </row>
    <row r="34" spans="1:14" ht="25.5" x14ac:dyDescent="0.25">
      <c r="A34" s="26">
        <v>46213</v>
      </c>
      <c r="B34" s="27" t="s">
        <v>114</v>
      </c>
      <c r="C34" s="27" t="s">
        <v>356</v>
      </c>
      <c r="D34" s="27" t="s">
        <v>313</v>
      </c>
      <c r="E34" s="28">
        <v>650</v>
      </c>
      <c r="F34" s="27" t="s">
        <v>155</v>
      </c>
      <c r="G34" s="27"/>
      <c r="H34" s="29"/>
      <c r="I34" s="27" t="s">
        <v>136</v>
      </c>
      <c r="J34" s="27" t="s">
        <v>357</v>
      </c>
      <c r="K34" s="30">
        <f t="shared" si="0"/>
        <v>7</v>
      </c>
      <c r="L34" s="31">
        <f>IF(B34&lt;&gt;"Расход",0,IF(H34&lt;&gt;"",E34*H34,IFERROR(IF(VLOOKUP(D34,Категории!$A$3:$F$27,4,FALSE)="",0,E34*VLOOKUP(D34,Категории!$A$3:$F$27,4,FALSE)),0)))</f>
        <v>0</v>
      </c>
      <c r="M34" s="30" t="str">
        <f>IF(A34="","",IF(NOT(ISNUMBER(A34)),"ДАТА; ","")&amp;IF(NOT(ISNUMBER(E34)),"СУММА; ","")&amp;IF(AND(B34&lt;&gt;"",D34&lt;&gt;"",IFERROR(VLOOKUP(D34,Категории!$A$3:$B$27,2,FALSE),"")&lt;&gt;B34),"ТИП/КАТЕГОРИЯ; ","")&amp;IF(AND(B34="Доход",G34=""),"НЕТ № КВИТАНЦИИ; ","")&amp;IF(AND(B34="Расход",H34="",IFERROR(VLOOKUP(D34,Категории!$A$3:$D$27,4,FALSE),"")=""),"УКАЖИТЕ ДОЛЮ; ","")&amp;IF(COUNTIFS($A$5:$A$504,A34,$B$5:$B$504,B34,$C$5:$C$504,C34,$E$5:$E$504,E34)&gt;1,"ВОЗМОЖНЫЙ ДУБЛЬ; ","")&amp;IF(AND(A34&lt;&gt;"",A35&lt;&gt;"",A34&lt;A35),"ПОРЯДОК ДАТ; ",""))</f>
        <v/>
      </c>
      <c r="N34" s="30">
        <f>IF(A34="","",IF(Настройки_2026!$B$6="ДЕМО",1,IF(I34="ДЕМО",0,1)))</f>
        <v>1</v>
      </c>
    </row>
    <row r="35" spans="1:14" x14ac:dyDescent="0.25">
      <c r="A35" s="26">
        <v>46211</v>
      </c>
      <c r="B35" s="27" t="s">
        <v>112</v>
      </c>
      <c r="C35" s="27" t="s">
        <v>360</v>
      </c>
      <c r="D35" s="27" t="s">
        <v>267</v>
      </c>
      <c r="E35" s="28">
        <v>220</v>
      </c>
      <c r="F35" s="27" t="s">
        <v>137</v>
      </c>
      <c r="G35" s="27" t="s">
        <v>385</v>
      </c>
      <c r="H35" s="29">
        <v>1</v>
      </c>
      <c r="I35" s="27" t="s">
        <v>136</v>
      </c>
      <c r="J35" s="27" t="s">
        <v>347</v>
      </c>
      <c r="K35" s="30">
        <f t="shared" si="0"/>
        <v>7</v>
      </c>
      <c r="L35" s="31">
        <f>IF(B35&lt;&gt;"Расход",0,IF(H35&lt;&gt;"",E35*H35,IFERROR(IF(VLOOKUP(D35,Категории!$A$3:$F$27,4,FALSE)="",0,E35*VLOOKUP(D35,Категории!$A$3:$F$27,4,FALSE)),0)))</f>
        <v>220</v>
      </c>
      <c r="M35" s="30" t="str">
        <f>IF(A35="","",IF(NOT(ISNUMBER(A35)),"ДАТА; ","")&amp;IF(NOT(ISNUMBER(E35)),"СУММА; ","")&amp;IF(AND(B35&lt;&gt;"",D35&lt;&gt;"",IFERROR(VLOOKUP(D35,Категории!$A$3:$B$27,2,FALSE),"")&lt;&gt;B35),"ТИП/КАТЕГОРИЯ; ","")&amp;IF(AND(B35="Доход",G35=""),"НЕТ № КВИТАНЦИИ; ","")&amp;IF(AND(B35="Расход",H35="",IFERROR(VLOOKUP(D35,Категории!$A$3:$D$27,4,FALSE),"")=""),"УКАЖИТЕ ДОЛЮ; ","")&amp;IF(COUNTIFS($A$5:$A$504,A35,$B$5:$B$504,B35,$C$5:$C$504,C35,$E$5:$E$504,E35)&gt;1,"ВОЗМОЖНЫЙ ДУБЛЬ; ","")&amp;IF(AND(A35&lt;&gt;"",A36&lt;&gt;"",A35&lt;A36),"ПОРЯДОК ДАТ; ",""))</f>
        <v/>
      </c>
      <c r="N35" s="30">
        <f>IF(A35="","",IF(Настройки_2026!$B$6="ДЕМО",1,IF(I35="ДЕМО",0,1)))</f>
        <v>1</v>
      </c>
    </row>
    <row r="36" spans="1:14" x14ac:dyDescent="0.25">
      <c r="A36" s="26">
        <v>46209</v>
      </c>
      <c r="B36" s="27" t="s">
        <v>110</v>
      </c>
      <c r="C36" s="27" t="s">
        <v>386</v>
      </c>
      <c r="D36" s="27" t="s">
        <v>250</v>
      </c>
      <c r="E36" s="28">
        <v>3500</v>
      </c>
      <c r="F36" s="27" t="s">
        <v>135</v>
      </c>
      <c r="G36" s="27" t="s">
        <v>387</v>
      </c>
      <c r="H36" s="29"/>
      <c r="I36" s="27" t="s">
        <v>136</v>
      </c>
      <c r="J36" s="27" t="s">
        <v>347</v>
      </c>
      <c r="K36" s="30">
        <f t="shared" si="0"/>
        <v>7</v>
      </c>
      <c r="L36" s="31">
        <f>IF(B36&lt;&gt;"Расход",0,IF(H36&lt;&gt;"",E36*H36,IFERROR(IF(VLOOKUP(D36,Категории!$A$3:$F$27,4,FALSE)="",0,E36*VLOOKUP(D36,Категории!$A$3:$F$27,4,FALSE)),0)))</f>
        <v>0</v>
      </c>
      <c r="M36" s="30" t="str">
        <f>IF(A36="","",IF(NOT(ISNUMBER(A36)),"ДАТА; ","")&amp;IF(NOT(ISNUMBER(E36)),"СУММА; ","")&amp;IF(AND(B36&lt;&gt;"",D36&lt;&gt;"",IFERROR(VLOOKUP(D36,Категории!$A$3:$B$27,2,FALSE),"")&lt;&gt;B36),"ТИП/КАТЕГОРИЯ; ","")&amp;IF(AND(B36="Доход",G36=""),"НЕТ № КВИТАНЦИИ; ","")&amp;IF(AND(B36="Расход",H36="",IFERROR(VLOOKUP(D36,Категории!$A$3:$D$27,4,FALSE),"")=""),"УКАЖИТЕ ДОЛЮ; ","")&amp;IF(COUNTIFS($A$5:$A$504,A36,$B$5:$B$504,B36,$C$5:$C$504,C36,$E$5:$E$504,E36)&gt;1,"ВОЗМОЖНЫЙ ДУБЛЬ; ","")&amp;IF(AND(A36&lt;&gt;"",A37&lt;&gt;"",A36&lt;A37),"ПОРЯДОК ДАТ; ",""))</f>
        <v/>
      </c>
      <c r="N36" s="30">
        <f>IF(A36="","",IF(Настройки_2026!$B$6="ДЕМО",1,IF(I36="ДЕМО",0,1)))</f>
        <v>1</v>
      </c>
    </row>
    <row r="37" spans="1:14" x14ac:dyDescent="0.25">
      <c r="A37" s="26">
        <v>46200</v>
      </c>
      <c r="B37" s="27" t="s">
        <v>116</v>
      </c>
      <c r="C37" s="27" t="s">
        <v>343</v>
      </c>
      <c r="D37" s="27" t="s">
        <v>322</v>
      </c>
      <c r="E37" s="28">
        <v>2100</v>
      </c>
      <c r="F37" s="27" t="s">
        <v>155</v>
      </c>
      <c r="G37" s="27"/>
      <c r="H37" s="29"/>
      <c r="I37" s="27" t="s">
        <v>136</v>
      </c>
      <c r="J37" s="27" t="s">
        <v>344</v>
      </c>
      <c r="K37" s="30">
        <f t="shared" si="0"/>
        <v>6</v>
      </c>
      <c r="L37" s="31">
        <f>IF(B37&lt;&gt;"Расход",0,IF(H37&lt;&gt;"",E37*H37,IFERROR(IF(VLOOKUP(D37,Категории!$A$3:$F$27,4,FALSE)="",0,E37*VLOOKUP(D37,Категории!$A$3:$F$27,4,FALSE)),0)))</f>
        <v>0</v>
      </c>
      <c r="M37" s="30" t="str">
        <f>IF(A37="","",IF(NOT(ISNUMBER(A37)),"ДАТА; ","")&amp;IF(NOT(ISNUMBER(E37)),"СУММА; ","")&amp;IF(AND(B37&lt;&gt;"",D37&lt;&gt;"",IFERROR(VLOOKUP(D37,Категории!$A$3:$B$27,2,FALSE),"")&lt;&gt;B37),"ТИП/КАТЕГОРИЯ; ","")&amp;IF(AND(B37="Доход",G37=""),"НЕТ № КВИТАНЦИИ; ","")&amp;IF(AND(B37="Расход",H37="",IFERROR(VLOOKUP(D37,Категории!$A$3:$D$27,4,FALSE),"")=""),"УКАЖИТЕ ДОЛЮ; ","")&amp;IF(COUNTIFS($A$5:$A$504,A37,$B$5:$B$504,B37,$C$5:$C$504,C37,$E$5:$E$504,E37)&gt;1,"ВОЗМОЖНЫЙ ДУБЛЬ; ","")&amp;IF(AND(A37&lt;&gt;"",A38&lt;&gt;"",A37&lt;A38),"ПОРЯДОК ДАТ; ",""))</f>
        <v/>
      </c>
      <c r="N37" s="30">
        <f>IF(A37="","",IF(Настройки_2026!$B$6="ДЕМО",1,IF(I37="ДЕМО",0,1)))</f>
        <v>1</v>
      </c>
    </row>
    <row r="38" spans="1:14" x14ac:dyDescent="0.25">
      <c r="A38" s="26">
        <v>46197</v>
      </c>
      <c r="B38" s="27" t="s">
        <v>112</v>
      </c>
      <c r="C38" s="27" t="s">
        <v>388</v>
      </c>
      <c r="D38" s="27" t="s">
        <v>288</v>
      </c>
      <c r="E38" s="28">
        <v>190</v>
      </c>
      <c r="F38" s="27" t="s">
        <v>137</v>
      </c>
      <c r="G38" s="27" t="s">
        <v>389</v>
      </c>
      <c r="H38" s="29"/>
      <c r="I38" s="27" t="s">
        <v>136</v>
      </c>
      <c r="J38" s="27" t="s">
        <v>347</v>
      </c>
      <c r="K38" s="30">
        <f t="shared" si="0"/>
        <v>6</v>
      </c>
      <c r="L38" s="31">
        <f>IF(B38&lt;&gt;"Расход",0,IF(H38&lt;&gt;"",E38*H38,IFERROR(IF(VLOOKUP(D38,Категории!$A$3:$F$27,4,FALSE)="",0,E38*VLOOKUP(D38,Категории!$A$3:$F$27,4,FALSE)),0)))</f>
        <v>0</v>
      </c>
      <c r="M38" s="30" t="str">
        <f>IF(A38="","",IF(NOT(ISNUMBER(A38)),"ДАТА; ","")&amp;IF(NOT(ISNUMBER(E38)),"СУММА; ","")&amp;IF(AND(B38&lt;&gt;"",D38&lt;&gt;"",IFERROR(VLOOKUP(D38,Категории!$A$3:$B$27,2,FALSE),"")&lt;&gt;B38),"ТИП/КАТЕГОРИЯ; ","")&amp;IF(AND(B38="Доход",G38=""),"НЕТ № КВИТАНЦИИ; ","")&amp;IF(AND(B38="Расход",H38="",IFERROR(VLOOKUP(D38,Категории!$A$3:$D$27,4,FALSE),"")=""),"УКАЖИТЕ ДОЛЮ; ","")&amp;IF(COUNTIFS($A$5:$A$504,A38,$B$5:$B$504,B38,$C$5:$C$504,C38,$E$5:$E$504,E38)&gt;1,"ВОЗМОЖНЫЙ ДУБЛЬ; ","")&amp;IF(AND(A38&lt;&gt;"",A39&lt;&gt;"",A38&lt;A39),"ПОРЯДОК ДАТ; ",""))</f>
        <v xml:space="preserve">УКАЖИТЕ ДОЛЮ; </v>
      </c>
      <c r="N38" s="30">
        <f>IF(A38="","",IF(Настройки_2026!$B$6="ДЕМО",1,IF(I38="ДЕМО",0,1)))</f>
        <v>1</v>
      </c>
    </row>
    <row r="39" spans="1:14" x14ac:dyDescent="0.25">
      <c r="A39" s="26">
        <v>46194</v>
      </c>
      <c r="B39" s="27" t="s">
        <v>110</v>
      </c>
      <c r="C39" s="27" t="s">
        <v>348</v>
      </c>
      <c r="D39" s="27" t="s">
        <v>254</v>
      </c>
      <c r="E39" s="28">
        <v>3000</v>
      </c>
      <c r="F39" s="27" t="s">
        <v>135</v>
      </c>
      <c r="G39" s="27" t="s">
        <v>390</v>
      </c>
      <c r="H39" s="29"/>
      <c r="I39" s="27" t="s">
        <v>136</v>
      </c>
      <c r="J39" s="27" t="s">
        <v>347</v>
      </c>
      <c r="K39" s="30">
        <f t="shared" si="0"/>
        <v>6</v>
      </c>
      <c r="L39" s="31">
        <f>IF(B39&lt;&gt;"Расход",0,IF(H39&lt;&gt;"",E39*H39,IFERROR(IF(VLOOKUP(D39,Категории!$A$3:$F$27,4,FALSE)="",0,E39*VLOOKUP(D39,Категории!$A$3:$F$27,4,FALSE)),0)))</f>
        <v>0</v>
      </c>
      <c r="M39" s="30" t="str">
        <f>IF(A39="","",IF(NOT(ISNUMBER(A39)),"ДАТА; ","")&amp;IF(NOT(ISNUMBER(E39)),"СУММА; ","")&amp;IF(AND(B39&lt;&gt;"",D39&lt;&gt;"",IFERROR(VLOOKUP(D39,Категории!$A$3:$B$27,2,FALSE),"")&lt;&gt;B39),"ТИП/КАТЕГОРИЯ; ","")&amp;IF(AND(B39="Доход",G39=""),"НЕТ № КВИТАНЦИИ; ","")&amp;IF(AND(B39="Расход",H39="",IFERROR(VLOOKUP(D39,Категории!$A$3:$D$27,4,FALSE),"")=""),"УКАЖИТЕ ДОЛЮ; ","")&amp;IF(COUNTIFS($A$5:$A$504,A39,$B$5:$B$504,B39,$C$5:$C$504,C39,$E$5:$E$504,E39)&gt;1,"ВОЗМОЖНЫЙ ДУБЛЬ; ","")&amp;IF(AND(A39&lt;&gt;"",A40&lt;&gt;"",A39&lt;A40),"ПОРЯДОК ДАТ; ",""))</f>
        <v/>
      </c>
      <c r="N39" s="30">
        <f>IF(A39="","",IF(Настройки_2026!$B$6="ДЕМО",1,IF(I39="ДЕМО",0,1)))</f>
        <v>1</v>
      </c>
    </row>
    <row r="40" spans="1:14" x14ac:dyDescent="0.25">
      <c r="A40" s="26">
        <v>46191</v>
      </c>
      <c r="B40" s="27" t="s">
        <v>114</v>
      </c>
      <c r="C40" s="27" t="s">
        <v>350</v>
      </c>
      <c r="D40" s="27" t="s">
        <v>316</v>
      </c>
      <c r="E40" s="28">
        <v>500</v>
      </c>
      <c r="F40" s="27" t="s">
        <v>155</v>
      </c>
      <c r="G40" s="27"/>
      <c r="H40" s="29"/>
      <c r="I40" s="27" t="s">
        <v>136</v>
      </c>
      <c r="J40" s="27" t="s">
        <v>351</v>
      </c>
      <c r="K40" s="30">
        <f t="shared" si="0"/>
        <v>6</v>
      </c>
      <c r="L40" s="31">
        <f>IF(B40&lt;&gt;"Расход",0,IF(H40&lt;&gt;"",E40*H40,IFERROR(IF(VLOOKUP(D40,Категории!$A$3:$F$27,4,FALSE)="",0,E40*VLOOKUP(D40,Категории!$A$3:$F$27,4,FALSE)),0)))</f>
        <v>0</v>
      </c>
      <c r="M40" s="30" t="str">
        <f>IF(A40="","",IF(NOT(ISNUMBER(A40)),"ДАТА; ","")&amp;IF(NOT(ISNUMBER(E40)),"СУММА; ","")&amp;IF(AND(B40&lt;&gt;"",D40&lt;&gt;"",IFERROR(VLOOKUP(D40,Категории!$A$3:$B$27,2,FALSE),"")&lt;&gt;B40),"ТИП/КАТЕГОРИЯ; ","")&amp;IF(AND(B40="Доход",G40=""),"НЕТ № КВИТАНЦИИ; ","")&amp;IF(AND(B40="Расход",H40="",IFERROR(VLOOKUP(D40,Категории!$A$3:$D$27,4,FALSE),"")=""),"УКАЖИТЕ ДОЛЮ; ","")&amp;IF(COUNTIFS($A$5:$A$504,A40,$B$5:$B$504,B40,$C$5:$C$504,C40,$E$5:$E$504,E40)&gt;1,"ВОЗМОЖНЫЙ ДУБЛЬ; ","")&amp;IF(AND(A40&lt;&gt;"",A41&lt;&gt;"",A40&lt;A41),"ПОРЯДОК ДАТ; ",""))</f>
        <v/>
      </c>
      <c r="N40" s="30">
        <f>IF(A40="","",IF(Настройки_2026!$B$6="ДЕМО",1,IF(I40="ДЕМО",0,1)))</f>
        <v>1</v>
      </c>
    </row>
    <row r="41" spans="1:14" x14ac:dyDescent="0.25">
      <c r="A41" s="26">
        <v>46190</v>
      </c>
      <c r="B41" s="27" t="s">
        <v>112</v>
      </c>
      <c r="C41" s="27" t="s">
        <v>391</v>
      </c>
      <c r="D41" s="27" t="s">
        <v>285</v>
      </c>
      <c r="E41" s="28">
        <v>160</v>
      </c>
      <c r="F41" s="27" t="s">
        <v>137</v>
      </c>
      <c r="G41" s="27" t="s">
        <v>392</v>
      </c>
      <c r="H41" s="29">
        <v>1</v>
      </c>
      <c r="I41" s="27" t="s">
        <v>136</v>
      </c>
      <c r="J41" s="27" t="s">
        <v>347</v>
      </c>
      <c r="K41" s="30">
        <f t="shared" si="0"/>
        <v>6</v>
      </c>
      <c r="L41" s="31">
        <f>IF(B41&lt;&gt;"Расход",0,IF(H41&lt;&gt;"",E41*H41,IFERROR(IF(VLOOKUP(D41,Категории!$A$3:$F$27,4,FALSE)="",0,E41*VLOOKUP(D41,Категории!$A$3:$F$27,4,FALSE)),0)))</f>
        <v>160</v>
      </c>
      <c r="M41" s="30" t="str">
        <f>IF(A41="","",IF(NOT(ISNUMBER(A41)),"ДАТА; ","")&amp;IF(NOT(ISNUMBER(E41)),"СУММА; ","")&amp;IF(AND(B41&lt;&gt;"",D41&lt;&gt;"",IFERROR(VLOOKUP(D41,Категории!$A$3:$B$27,2,FALSE),"")&lt;&gt;B41),"ТИП/КАТЕГОРИЯ; ","")&amp;IF(AND(B41="Доход",G41=""),"НЕТ № КВИТАНЦИИ; ","")&amp;IF(AND(B41="Расход",H41="",IFERROR(VLOOKUP(D41,Категории!$A$3:$D$27,4,FALSE),"")=""),"УКАЖИТЕ ДОЛЮ; ","")&amp;IF(COUNTIFS($A$5:$A$504,A41,$B$5:$B$504,B41,$C$5:$C$504,C41,$E$5:$E$504,E41)&gt;1,"ВОЗМОЖНЫЙ ДУБЛЬ; ","")&amp;IF(AND(A41&lt;&gt;"",A42&lt;&gt;"",A41&lt;A42),"ПОРЯДОК ДАТ; ",""))</f>
        <v/>
      </c>
      <c r="N41" s="30">
        <f>IF(A41="","",IF(Настройки_2026!$B$6="ДЕМО",1,IF(I41="ДЕМО",0,1)))</f>
        <v>1</v>
      </c>
    </row>
    <row r="42" spans="1:14" x14ac:dyDescent="0.25">
      <c r="A42" s="26">
        <v>46187</v>
      </c>
      <c r="B42" s="27" t="s">
        <v>110</v>
      </c>
      <c r="C42" s="27" t="s">
        <v>393</v>
      </c>
      <c r="D42" s="27" t="s">
        <v>250</v>
      </c>
      <c r="E42" s="28">
        <v>3000</v>
      </c>
      <c r="F42" s="27" t="s">
        <v>146</v>
      </c>
      <c r="G42" s="27" t="s">
        <v>394</v>
      </c>
      <c r="H42" s="29"/>
      <c r="I42" s="27" t="s">
        <v>136</v>
      </c>
      <c r="J42" s="27" t="s">
        <v>347</v>
      </c>
      <c r="K42" s="30">
        <f t="shared" si="0"/>
        <v>6</v>
      </c>
      <c r="L42" s="31">
        <f>IF(B42&lt;&gt;"Расход",0,IF(H42&lt;&gt;"",E42*H42,IFERROR(IF(VLOOKUP(D42,Категории!$A$3:$F$27,4,FALSE)="",0,E42*VLOOKUP(D42,Категории!$A$3:$F$27,4,FALSE)),0)))</f>
        <v>0</v>
      </c>
      <c r="M42" s="30" t="str">
        <f>IF(A42="","",IF(NOT(ISNUMBER(A42)),"ДАТА; ","")&amp;IF(NOT(ISNUMBER(E42)),"СУММА; ","")&amp;IF(AND(B42&lt;&gt;"",D42&lt;&gt;"",IFERROR(VLOOKUP(D42,Категории!$A$3:$B$27,2,FALSE),"")&lt;&gt;B42),"ТИП/КАТЕГОРИЯ; ","")&amp;IF(AND(B42="Доход",G42=""),"НЕТ № КВИТАНЦИИ; ","")&amp;IF(AND(B42="Расход",H42="",IFERROR(VLOOKUP(D42,Категории!$A$3:$D$27,4,FALSE),"")=""),"УКАЖИТЕ ДОЛЮ; ","")&amp;IF(COUNTIFS($A$5:$A$504,A42,$B$5:$B$504,B42,$C$5:$C$504,C42,$E$5:$E$504,E42)&gt;1,"ВОЗМОЖНЫЙ ДУБЛЬ; ","")&amp;IF(AND(A42&lt;&gt;"",A43&lt;&gt;"",A42&lt;A43),"ПОРЯДОК ДАТ; ",""))</f>
        <v/>
      </c>
      <c r="N42" s="30">
        <f>IF(A42="","",IF(Настройки_2026!$B$6="ДЕМО",1,IF(I42="ДЕМО",0,1)))</f>
        <v>1</v>
      </c>
    </row>
    <row r="43" spans="1:14" x14ac:dyDescent="0.25">
      <c r="A43" s="26">
        <v>46185</v>
      </c>
      <c r="B43" s="27" t="s">
        <v>112</v>
      </c>
      <c r="C43" s="27" t="s">
        <v>352</v>
      </c>
      <c r="D43" s="27" t="s">
        <v>263</v>
      </c>
      <c r="E43" s="28">
        <v>630</v>
      </c>
      <c r="F43" s="27" t="s">
        <v>140</v>
      </c>
      <c r="G43" s="27" t="s">
        <v>395</v>
      </c>
      <c r="H43" s="29">
        <v>1</v>
      </c>
      <c r="I43" s="27" t="s">
        <v>136</v>
      </c>
      <c r="J43" s="27" t="s">
        <v>347</v>
      </c>
      <c r="K43" s="30">
        <f t="shared" si="0"/>
        <v>6</v>
      </c>
      <c r="L43" s="31">
        <f>IF(B43&lt;&gt;"Расход",0,IF(H43&lt;&gt;"",E43*H43,IFERROR(IF(VLOOKUP(D43,Категории!$A$3:$F$27,4,FALSE)="",0,E43*VLOOKUP(D43,Категории!$A$3:$F$27,4,FALSE)),0)))</f>
        <v>630</v>
      </c>
      <c r="M43" s="30" t="str">
        <f>IF(A43="","",IF(NOT(ISNUMBER(A43)),"ДАТА; ","")&amp;IF(NOT(ISNUMBER(E43)),"СУММА; ","")&amp;IF(AND(B43&lt;&gt;"",D43&lt;&gt;"",IFERROR(VLOOKUP(D43,Категории!$A$3:$B$27,2,FALSE),"")&lt;&gt;B43),"ТИП/КАТЕГОРИЯ; ","")&amp;IF(AND(B43="Доход",G43=""),"НЕТ № КВИТАНЦИИ; ","")&amp;IF(AND(B43="Расход",H43="",IFERROR(VLOOKUP(D43,Категории!$A$3:$D$27,4,FALSE),"")=""),"УКАЖИТЕ ДОЛЮ; ","")&amp;IF(COUNTIFS($A$5:$A$504,A43,$B$5:$B$504,B43,$C$5:$C$504,C43,$E$5:$E$504,E43)&gt;1,"ВОЗМОЖНЫЙ ДУБЛЬ; ","")&amp;IF(AND(A43&lt;&gt;"",A44&lt;&gt;"",A43&lt;A44),"ПОРЯДОК ДАТ; ",""))</f>
        <v/>
      </c>
      <c r="N43" s="30">
        <f>IF(A43="","",IF(Настройки_2026!$B$6="ДЕМО",1,IF(I43="ДЕМО",0,1)))</f>
        <v>1</v>
      </c>
    </row>
    <row r="44" spans="1:14" ht="25.5" x14ac:dyDescent="0.25">
      <c r="A44" s="26">
        <v>46183</v>
      </c>
      <c r="B44" s="27" t="s">
        <v>114</v>
      </c>
      <c r="C44" s="27" t="s">
        <v>356</v>
      </c>
      <c r="D44" s="27" t="s">
        <v>313</v>
      </c>
      <c r="E44" s="28">
        <v>650</v>
      </c>
      <c r="F44" s="27" t="s">
        <v>155</v>
      </c>
      <c r="G44" s="27"/>
      <c r="H44" s="29"/>
      <c r="I44" s="27" t="s">
        <v>136</v>
      </c>
      <c r="J44" s="27" t="s">
        <v>357</v>
      </c>
      <c r="K44" s="30">
        <f t="shared" si="0"/>
        <v>6</v>
      </c>
      <c r="L44" s="31">
        <f>IF(B44&lt;&gt;"Расход",0,IF(H44&lt;&gt;"",E44*H44,IFERROR(IF(VLOOKUP(D44,Категории!$A$3:$F$27,4,FALSE)="",0,E44*VLOOKUP(D44,Категории!$A$3:$F$27,4,FALSE)),0)))</f>
        <v>0</v>
      </c>
      <c r="M44" s="30" t="str">
        <f>IF(A44="","",IF(NOT(ISNUMBER(A44)),"ДАТА; ","")&amp;IF(NOT(ISNUMBER(E44)),"СУММА; ","")&amp;IF(AND(B44&lt;&gt;"",D44&lt;&gt;"",IFERROR(VLOOKUP(D44,Категории!$A$3:$B$27,2,FALSE),"")&lt;&gt;B44),"ТИП/КАТЕГОРИЯ; ","")&amp;IF(AND(B44="Доход",G44=""),"НЕТ № КВИТАНЦИИ; ","")&amp;IF(AND(B44="Расход",H44="",IFERROR(VLOOKUP(D44,Категории!$A$3:$D$27,4,FALSE),"")=""),"УКАЖИТЕ ДОЛЮ; ","")&amp;IF(COUNTIFS($A$5:$A$504,A44,$B$5:$B$504,B44,$C$5:$C$504,C44,$E$5:$E$504,E44)&gt;1,"ВОЗМОЖНЫЙ ДУБЛЬ; ","")&amp;IF(AND(A44&lt;&gt;"",A45&lt;&gt;"",A44&lt;A45),"ПОРЯДОК ДАТ; ",""))</f>
        <v/>
      </c>
      <c r="N44" s="30">
        <f>IF(A44="","",IF(Настройки_2026!$B$6="ДЕМО",1,IF(I44="ДЕМО",0,1)))</f>
        <v>1</v>
      </c>
    </row>
    <row r="45" spans="1:14" x14ac:dyDescent="0.25">
      <c r="A45" s="26">
        <v>46181</v>
      </c>
      <c r="B45" s="27" t="s">
        <v>112</v>
      </c>
      <c r="C45" s="27" t="s">
        <v>360</v>
      </c>
      <c r="D45" s="27" t="s">
        <v>267</v>
      </c>
      <c r="E45" s="28">
        <v>220</v>
      </c>
      <c r="F45" s="27" t="s">
        <v>137</v>
      </c>
      <c r="G45" s="27" t="s">
        <v>396</v>
      </c>
      <c r="H45" s="29">
        <v>1</v>
      </c>
      <c r="I45" s="27" t="s">
        <v>136</v>
      </c>
      <c r="J45" s="27" t="s">
        <v>347</v>
      </c>
      <c r="K45" s="30">
        <f t="shared" si="0"/>
        <v>6</v>
      </c>
      <c r="L45" s="31">
        <f>IF(B45&lt;&gt;"Расход",0,IF(H45&lt;&gt;"",E45*H45,IFERROR(IF(VLOOKUP(D45,Категории!$A$3:$F$27,4,FALSE)="",0,E45*VLOOKUP(D45,Категории!$A$3:$F$27,4,FALSE)),0)))</f>
        <v>220</v>
      </c>
      <c r="M45" s="30" t="str">
        <f>IF(A45="","",IF(NOT(ISNUMBER(A45)),"ДАТА; ","")&amp;IF(NOT(ISNUMBER(E45)),"СУММА; ","")&amp;IF(AND(B45&lt;&gt;"",D45&lt;&gt;"",IFERROR(VLOOKUP(D45,Категории!$A$3:$B$27,2,FALSE),"")&lt;&gt;B45),"ТИП/КАТЕГОРИЯ; ","")&amp;IF(AND(B45="Доход",G45=""),"НЕТ № КВИТАНЦИИ; ","")&amp;IF(AND(B45="Расход",H45="",IFERROR(VLOOKUP(D45,Категории!$A$3:$D$27,4,FALSE),"")=""),"УКАЖИТЕ ДОЛЮ; ","")&amp;IF(COUNTIFS($A$5:$A$504,A45,$B$5:$B$504,B45,$C$5:$C$504,C45,$E$5:$E$504,E45)&gt;1,"ВОЗМОЖНЫЙ ДУБЛЬ; ","")&amp;IF(AND(A45&lt;&gt;"",A46&lt;&gt;"",A45&lt;A46),"ПОРЯДОК ДАТ; ",""))</f>
        <v/>
      </c>
      <c r="N45" s="30">
        <f>IF(A45="","",IF(Настройки_2026!$B$6="ДЕМО",1,IF(I45="ДЕМО",0,1)))</f>
        <v>1</v>
      </c>
    </row>
    <row r="46" spans="1:14" x14ac:dyDescent="0.25">
      <c r="A46" s="26">
        <v>46179</v>
      </c>
      <c r="B46" s="27" t="s">
        <v>110</v>
      </c>
      <c r="C46" s="27" t="s">
        <v>377</v>
      </c>
      <c r="D46" s="27" t="s">
        <v>250</v>
      </c>
      <c r="E46" s="28">
        <v>3700</v>
      </c>
      <c r="F46" s="27" t="s">
        <v>135</v>
      </c>
      <c r="G46" s="27" t="s">
        <v>397</v>
      </c>
      <c r="H46" s="29"/>
      <c r="I46" s="27" t="s">
        <v>136</v>
      </c>
      <c r="J46" s="27" t="s">
        <v>347</v>
      </c>
      <c r="K46" s="30">
        <f t="shared" si="0"/>
        <v>6</v>
      </c>
      <c r="L46" s="31">
        <f>IF(B46&lt;&gt;"Расход",0,IF(H46&lt;&gt;"",E46*H46,IFERROR(IF(VLOOKUP(D46,Категории!$A$3:$F$27,4,FALSE)="",0,E46*VLOOKUP(D46,Категории!$A$3:$F$27,4,FALSE)),0)))</f>
        <v>0</v>
      </c>
      <c r="M46" s="30" t="str">
        <f>IF(A46="","",IF(NOT(ISNUMBER(A46)),"ДАТА; ","")&amp;IF(NOT(ISNUMBER(E46)),"СУММА; ","")&amp;IF(AND(B46&lt;&gt;"",D46&lt;&gt;"",IFERROR(VLOOKUP(D46,Категории!$A$3:$B$27,2,FALSE),"")&lt;&gt;B46),"ТИП/КАТЕГОРИЯ; ","")&amp;IF(AND(B46="Доход",G46=""),"НЕТ № КВИТАНЦИИ; ","")&amp;IF(AND(B46="Расход",H46="",IFERROR(VLOOKUP(D46,Категории!$A$3:$D$27,4,FALSE),"")=""),"УКАЖИТЕ ДОЛЮ; ","")&amp;IF(COUNTIFS($A$5:$A$504,A46,$B$5:$B$504,B46,$C$5:$C$504,C46,$E$5:$E$504,E46)&gt;1,"ВОЗМОЖНЫЙ ДУБЛЬ; ","")&amp;IF(AND(A46&lt;&gt;"",A47&lt;&gt;"",A46&lt;A47),"ПОРЯДОК ДАТ; ",""))</f>
        <v/>
      </c>
      <c r="N46" s="30">
        <f>IF(A46="","",IF(Настройки_2026!$B$6="ДЕМО",1,IF(I46="ДЕМО",0,1)))</f>
        <v>1</v>
      </c>
    </row>
    <row r="47" spans="1:14" x14ac:dyDescent="0.25">
      <c r="A47" s="26">
        <v>46169</v>
      </c>
      <c r="B47" s="27" t="s">
        <v>116</v>
      </c>
      <c r="C47" s="27" t="s">
        <v>343</v>
      </c>
      <c r="D47" s="27" t="s">
        <v>322</v>
      </c>
      <c r="E47" s="28">
        <v>2050</v>
      </c>
      <c r="F47" s="27" t="s">
        <v>155</v>
      </c>
      <c r="G47" s="27"/>
      <c r="H47" s="29"/>
      <c r="I47" s="27" t="s">
        <v>136</v>
      </c>
      <c r="J47" s="27" t="s">
        <v>344</v>
      </c>
      <c r="K47" s="30">
        <f t="shared" si="0"/>
        <v>5</v>
      </c>
      <c r="L47" s="31">
        <f>IF(B47&lt;&gt;"Расход",0,IF(H47&lt;&gt;"",E47*H47,IFERROR(IF(VLOOKUP(D47,Категории!$A$3:$F$27,4,FALSE)="",0,E47*VLOOKUP(D47,Категории!$A$3:$F$27,4,FALSE)),0)))</f>
        <v>0</v>
      </c>
      <c r="M47" s="30" t="str">
        <f>IF(A47="","",IF(NOT(ISNUMBER(A47)),"ДАТА; ","")&amp;IF(NOT(ISNUMBER(E47)),"СУММА; ","")&amp;IF(AND(B47&lt;&gt;"",D47&lt;&gt;"",IFERROR(VLOOKUP(D47,Категории!$A$3:$B$27,2,FALSE),"")&lt;&gt;B47),"ТИП/КАТЕГОРИЯ; ","")&amp;IF(AND(B47="Доход",G47=""),"НЕТ № КВИТАНЦИИ; ","")&amp;IF(AND(B47="Расход",H47="",IFERROR(VLOOKUP(D47,Категории!$A$3:$D$27,4,FALSE),"")=""),"УКАЖИТЕ ДОЛЮ; ","")&amp;IF(COUNTIFS($A$5:$A$504,A47,$B$5:$B$504,B47,$C$5:$C$504,C47,$E$5:$E$504,E47)&gt;1,"ВОЗМОЖНЫЙ ДУБЛЬ; ","")&amp;IF(AND(A47&lt;&gt;"",A48&lt;&gt;"",A47&lt;A48),"ПОРЯДОК ДАТ; ",""))</f>
        <v/>
      </c>
      <c r="N47" s="30">
        <f>IF(A47="","",IF(Настройки_2026!$B$6="ДЕМО",1,IF(I47="ДЕМО",0,1)))</f>
        <v>1</v>
      </c>
    </row>
    <row r="48" spans="1:14" x14ac:dyDescent="0.25">
      <c r="A48" s="26">
        <v>46166</v>
      </c>
      <c r="B48" s="27" t="s">
        <v>112</v>
      </c>
      <c r="C48" s="27" t="s">
        <v>398</v>
      </c>
      <c r="D48" s="27" t="s">
        <v>295</v>
      </c>
      <c r="E48" s="28">
        <v>850</v>
      </c>
      <c r="F48" s="27" t="s">
        <v>137</v>
      </c>
      <c r="G48" s="27" t="s">
        <v>399</v>
      </c>
      <c r="H48" s="29"/>
      <c r="I48" s="27" t="s">
        <v>136</v>
      </c>
      <c r="J48" s="27" t="s">
        <v>347</v>
      </c>
      <c r="K48" s="30">
        <f t="shared" si="0"/>
        <v>5</v>
      </c>
      <c r="L48" s="31">
        <f>IF(B48&lt;&gt;"Расход",0,IF(H48&lt;&gt;"",E48*H48,IFERROR(IF(VLOOKUP(D48,Категории!$A$3:$F$27,4,FALSE)="",0,E48*VLOOKUP(D48,Категории!$A$3:$F$27,4,FALSE)),0)))</f>
        <v>0</v>
      </c>
      <c r="M48" s="30" t="str">
        <f>IF(A48="","",IF(NOT(ISNUMBER(A48)),"ДАТА; ","")&amp;IF(NOT(ISNUMBER(E48)),"СУММА; ","")&amp;IF(AND(B48&lt;&gt;"",D48&lt;&gt;"",IFERROR(VLOOKUP(D48,Категории!$A$3:$B$27,2,FALSE),"")&lt;&gt;B48),"ТИП/КАТЕГОРИЯ; ","")&amp;IF(AND(B48="Доход",G48=""),"НЕТ № КВИТАНЦИИ; ","")&amp;IF(AND(B48="Расход",H48="",IFERROR(VLOOKUP(D48,Категории!$A$3:$D$27,4,FALSE),"")=""),"УКАЖИТЕ ДОЛЮ; ","")&amp;IF(COUNTIFS($A$5:$A$504,A48,$B$5:$B$504,B48,$C$5:$C$504,C48,$E$5:$E$504,E48)&gt;1,"ВОЗМОЖНЫЙ ДУБЛЬ; ","")&amp;IF(AND(A48&lt;&gt;"",A49&lt;&gt;"",A48&lt;A49),"ПОРЯДОК ДАТ; ",""))</f>
        <v xml:space="preserve">УКАЖИТЕ ДОЛЮ; </v>
      </c>
      <c r="N48" s="30">
        <f>IF(A48="","",IF(Настройки_2026!$B$6="ДЕМО",1,IF(I48="ДЕМО",0,1)))</f>
        <v>1</v>
      </c>
    </row>
    <row r="49" spans="1:14" x14ac:dyDescent="0.25">
      <c r="A49" s="26">
        <v>46163</v>
      </c>
      <c r="B49" s="27" t="s">
        <v>110</v>
      </c>
      <c r="C49" s="27" t="s">
        <v>348</v>
      </c>
      <c r="D49" s="27" t="s">
        <v>254</v>
      </c>
      <c r="E49" s="28">
        <v>3000</v>
      </c>
      <c r="F49" s="27" t="s">
        <v>135</v>
      </c>
      <c r="G49" s="27" t="s">
        <v>400</v>
      </c>
      <c r="H49" s="29"/>
      <c r="I49" s="27" t="s">
        <v>136</v>
      </c>
      <c r="J49" s="27" t="s">
        <v>347</v>
      </c>
      <c r="K49" s="30">
        <f t="shared" si="0"/>
        <v>5</v>
      </c>
      <c r="L49" s="31">
        <f>IF(B49&lt;&gt;"Расход",0,IF(H49&lt;&gt;"",E49*H49,IFERROR(IF(VLOOKUP(D49,Категории!$A$3:$F$27,4,FALSE)="",0,E49*VLOOKUP(D49,Категории!$A$3:$F$27,4,FALSE)),0)))</f>
        <v>0</v>
      </c>
      <c r="M49" s="30" t="str">
        <f>IF(A49="","",IF(NOT(ISNUMBER(A49)),"ДАТА; ","")&amp;IF(NOT(ISNUMBER(E49)),"СУММА; ","")&amp;IF(AND(B49&lt;&gt;"",D49&lt;&gt;"",IFERROR(VLOOKUP(D49,Категории!$A$3:$B$27,2,FALSE),"")&lt;&gt;B49),"ТИП/КАТЕГОРИЯ; ","")&amp;IF(AND(B49="Доход",G49=""),"НЕТ № КВИТАНЦИИ; ","")&amp;IF(AND(B49="Расход",H49="",IFERROR(VLOOKUP(D49,Категории!$A$3:$D$27,4,FALSE),"")=""),"УКАЖИТЕ ДОЛЮ; ","")&amp;IF(COUNTIFS($A$5:$A$504,A49,$B$5:$B$504,B49,$C$5:$C$504,C49,$E$5:$E$504,E49)&gt;1,"ВОЗМОЖНЫЙ ДУБЛЬ; ","")&amp;IF(AND(A49&lt;&gt;"",A50&lt;&gt;"",A49&lt;A50),"ПОРЯДОК ДАТ; ",""))</f>
        <v/>
      </c>
      <c r="N49" s="30">
        <f>IF(A49="","",IF(Настройки_2026!$B$6="ДЕМО",1,IF(I49="ДЕМО",0,1)))</f>
        <v>1</v>
      </c>
    </row>
    <row r="50" spans="1:14" x14ac:dyDescent="0.25">
      <c r="A50" s="26">
        <v>46160</v>
      </c>
      <c r="B50" s="27" t="s">
        <v>114</v>
      </c>
      <c r="C50" s="27" t="s">
        <v>350</v>
      </c>
      <c r="D50" s="27" t="s">
        <v>316</v>
      </c>
      <c r="E50" s="28">
        <v>500</v>
      </c>
      <c r="F50" s="27" t="s">
        <v>155</v>
      </c>
      <c r="G50" s="27"/>
      <c r="H50" s="29"/>
      <c r="I50" s="27" t="s">
        <v>136</v>
      </c>
      <c r="J50" s="27" t="s">
        <v>351</v>
      </c>
      <c r="K50" s="30">
        <f t="shared" si="0"/>
        <v>5</v>
      </c>
      <c r="L50" s="31">
        <f>IF(B50&lt;&gt;"Расход",0,IF(H50&lt;&gt;"",E50*H50,IFERROR(IF(VLOOKUP(D50,Категории!$A$3:$F$27,4,FALSE)="",0,E50*VLOOKUP(D50,Категории!$A$3:$F$27,4,FALSE)),0)))</f>
        <v>0</v>
      </c>
      <c r="M50" s="30" t="str">
        <f>IF(A50="","",IF(NOT(ISNUMBER(A50)),"ДАТА; ","")&amp;IF(NOT(ISNUMBER(E50)),"СУММА; ","")&amp;IF(AND(B50&lt;&gt;"",D50&lt;&gt;"",IFERROR(VLOOKUP(D50,Категории!$A$3:$B$27,2,FALSE),"")&lt;&gt;B50),"ТИП/КАТЕГОРИЯ; ","")&amp;IF(AND(B50="Доход",G50=""),"НЕТ № КВИТАНЦИИ; ","")&amp;IF(AND(B50="Расход",H50="",IFERROR(VLOOKUP(D50,Категории!$A$3:$D$27,4,FALSE),"")=""),"УКАЖИТЕ ДОЛЮ; ","")&amp;IF(COUNTIFS($A$5:$A$504,A50,$B$5:$B$504,B50,$C$5:$C$504,C50,$E$5:$E$504,E50)&gt;1,"ВОЗМОЖНЫЙ ДУБЛЬ; ","")&amp;IF(AND(A50&lt;&gt;"",A51&lt;&gt;"",A50&lt;A51),"ПОРЯДОК ДАТ; ",""))</f>
        <v/>
      </c>
      <c r="N50" s="30">
        <f>IF(A50="","",IF(Настройки_2026!$B$6="ДЕМО",1,IF(I50="ДЕМО",0,1)))</f>
        <v>1</v>
      </c>
    </row>
    <row r="51" spans="1:14" x14ac:dyDescent="0.25">
      <c r="A51" s="26">
        <v>46159</v>
      </c>
      <c r="B51" s="27" t="s">
        <v>112</v>
      </c>
      <c r="C51" s="27" t="s">
        <v>352</v>
      </c>
      <c r="D51" s="27" t="s">
        <v>263</v>
      </c>
      <c r="E51" s="28">
        <v>780</v>
      </c>
      <c r="F51" s="27" t="s">
        <v>140</v>
      </c>
      <c r="G51" s="27" t="s">
        <v>401</v>
      </c>
      <c r="H51" s="29">
        <v>1</v>
      </c>
      <c r="I51" s="27" t="s">
        <v>136</v>
      </c>
      <c r="J51" s="27" t="s">
        <v>347</v>
      </c>
      <c r="K51" s="30">
        <f t="shared" si="0"/>
        <v>5</v>
      </c>
      <c r="L51" s="31">
        <f>IF(B51&lt;&gt;"Расход",0,IF(H51&lt;&gt;"",E51*H51,IFERROR(IF(VLOOKUP(D51,Категории!$A$3:$F$27,4,FALSE)="",0,E51*VLOOKUP(D51,Категории!$A$3:$F$27,4,FALSE)),0)))</f>
        <v>780</v>
      </c>
      <c r="M51" s="30" t="str">
        <f>IF(A51="","",IF(NOT(ISNUMBER(A51)),"ДАТА; ","")&amp;IF(NOT(ISNUMBER(E51)),"СУММА; ","")&amp;IF(AND(B51&lt;&gt;"",D51&lt;&gt;"",IFERROR(VLOOKUP(D51,Категории!$A$3:$B$27,2,FALSE),"")&lt;&gt;B51),"ТИП/КАТЕГОРИЯ; ","")&amp;IF(AND(B51="Доход",G51=""),"НЕТ № КВИТАНЦИИ; ","")&amp;IF(AND(B51="Расход",H51="",IFERROR(VLOOKUP(D51,Категории!$A$3:$D$27,4,FALSE),"")=""),"УКАЖИТЕ ДОЛЮ; ","")&amp;IF(COUNTIFS($A$5:$A$504,A51,$B$5:$B$504,B51,$C$5:$C$504,C51,$E$5:$E$504,E51)&gt;1,"ВОЗМОЖНЫЙ ДУБЛЬ; ","")&amp;IF(AND(A51&lt;&gt;"",A52&lt;&gt;"",A51&lt;A52),"ПОРЯДОК ДАТ; ",""))</f>
        <v/>
      </c>
      <c r="N51" s="30">
        <f>IF(A51="","",IF(Настройки_2026!$B$6="ДЕМО",1,IF(I51="ДЕМО",0,1)))</f>
        <v>1</v>
      </c>
    </row>
    <row r="52" spans="1:14" x14ac:dyDescent="0.25">
      <c r="A52" s="26">
        <v>46156</v>
      </c>
      <c r="B52" s="27" t="s">
        <v>110</v>
      </c>
      <c r="C52" s="27" t="s">
        <v>371</v>
      </c>
      <c r="D52" s="27" t="s">
        <v>250</v>
      </c>
      <c r="E52" s="28">
        <v>3000</v>
      </c>
      <c r="F52" s="27" t="s">
        <v>146</v>
      </c>
      <c r="G52" s="27" t="s">
        <v>402</v>
      </c>
      <c r="H52" s="29"/>
      <c r="I52" s="27" t="s">
        <v>136</v>
      </c>
      <c r="J52" s="27" t="s">
        <v>347</v>
      </c>
      <c r="K52" s="30">
        <f t="shared" si="0"/>
        <v>5</v>
      </c>
      <c r="L52" s="31">
        <f>IF(B52&lt;&gt;"Расход",0,IF(H52&lt;&gt;"",E52*H52,IFERROR(IF(VLOOKUP(D52,Категории!$A$3:$F$27,4,FALSE)="",0,E52*VLOOKUP(D52,Категории!$A$3:$F$27,4,FALSE)),0)))</f>
        <v>0</v>
      </c>
      <c r="M52" s="30" t="str">
        <f>IF(A52="","",IF(NOT(ISNUMBER(A52)),"ДАТА; ","")&amp;IF(NOT(ISNUMBER(E52)),"СУММА; ","")&amp;IF(AND(B52&lt;&gt;"",D52&lt;&gt;"",IFERROR(VLOOKUP(D52,Категории!$A$3:$B$27,2,FALSE),"")&lt;&gt;B52),"ТИП/КАТЕГОРИЯ; ","")&amp;IF(AND(B52="Доход",G52=""),"НЕТ № КВИТАНЦИИ; ","")&amp;IF(AND(B52="Расход",H52="",IFERROR(VLOOKUP(D52,Категории!$A$3:$D$27,4,FALSE),"")=""),"УКАЖИТЕ ДОЛЮ; ","")&amp;IF(COUNTIFS($A$5:$A$504,A52,$B$5:$B$504,B52,$C$5:$C$504,C52,$E$5:$E$504,E52)&gt;1,"ВОЗМОЖНЫЙ ДУБЛЬ; ","")&amp;IF(AND(A52&lt;&gt;"",A53&lt;&gt;"",A52&lt;A53),"ПОРЯДОК ДАТ; ",""))</f>
        <v/>
      </c>
      <c r="N52" s="30">
        <f>IF(A52="","",IF(Настройки_2026!$B$6="ДЕМО",1,IF(I52="ДЕМО",0,1)))</f>
        <v>1</v>
      </c>
    </row>
    <row r="53" spans="1:14" x14ac:dyDescent="0.25">
      <c r="A53" s="26">
        <v>46154</v>
      </c>
      <c r="B53" s="27" t="s">
        <v>112</v>
      </c>
      <c r="C53" s="27" t="s">
        <v>358</v>
      </c>
      <c r="D53" s="27" t="s">
        <v>270</v>
      </c>
      <c r="E53" s="28">
        <v>650</v>
      </c>
      <c r="F53" s="27" t="s">
        <v>137</v>
      </c>
      <c r="G53" s="27" t="s">
        <v>403</v>
      </c>
      <c r="H53" s="29">
        <v>1</v>
      </c>
      <c r="I53" s="27" t="s">
        <v>136</v>
      </c>
      <c r="J53" s="27" t="s">
        <v>347</v>
      </c>
      <c r="K53" s="30">
        <f t="shared" si="0"/>
        <v>5</v>
      </c>
      <c r="L53" s="31">
        <f>IF(B53&lt;&gt;"Расход",0,IF(H53&lt;&gt;"",E53*H53,IFERROR(IF(VLOOKUP(D53,Категории!$A$3:$F$27,4,FALSE)="",0,E53*VLOOKUP(D53,Категории!$A$3:$F$27,4,FALSE)),0)))</f>
        <v>650</v>
      </c>
      <c r="M53" s="30" t="str">
        <f>IF(A53="","",IF(NOT(ISNUMBER(A53)),"ДАТА; ","")&amp;IF(NOT(ISNUMBER(E53)),"СУММА; ","")&amp;IF(AND(B53&lt;&gt;"",D53&lt;&gt;"",IFERROR(VLOOKUP(D53,Категории!$A$3:$B$27,2,FALSE),"")&lt;&gt;B53),"ТИП/КАТЕГОРИЯ; ","")&amp;IF(AND(B53="Доход",G53=""),"НЕТ № КВИТАНЦИИ; ","")&amp;IF(AND(B53="Расход",H53="",IFERROR(VLOOKUP(D53,Категории!$A$3:$D$27,4,FALSE),"")=""),"УКАЖИТЕ ДОЛЮ; ","")&amp;IF(COUNTIFS($A$5:$A$504,A53,$B$5:$B$504,B53,$C$5:$C$504,C53,$E$5:$E$504,E53)&gt;1,"ВОЗМОЖНЫЙ ДУБЛЬ; ","")&amp;IF(AND(A53&lt;&gt;"",A54&lt;&gt;"",A53&lt;A54),"ПОРЯДОК ДАТ; ",""))</f>
        <v/>
      </c>
      <c r="N53" s="30">
        <f>IF(A53="","",IF(Настройки_2026!$B$6="ДЕМО",1,IF(I53="ДЕМО",0,1)))</f>
        <v>1</v>
      </c>
    </row>
    <row r="54" spans="1:14" ht="25.5" x14ac:dyDescent="0.25">
      <c r="A54" s="26">
        <v>46152</v>
      </c>
      <c r="B54" s="27" t="s">
        <v>114</v>
      </c>
      <c r="C54" s="27" t="s">
        <v>356</v>
      </c>
      <c r="D54" s="27" t="s">
        <v>313</v>
      </c>
      <c r="E54" s="28">
        <v>650</v>
      </c>
      <c r="F54" s="27" t="s">
        <v>155</v>
      </c>
      <c r="G54" s="27"/>
      <c r="H54" s="29"/>
      <c r="I54" s="27" t="s">
        <v>136</v>
      </c>
      <c r="J54" s="27" t="s">
        <v>357</v>
      </c>
      <c r="K54" s="30">
        <f t="shared" si="0"/>
        <v>5</v>
      </c>
      <c r="L54" s="31">
        <f>IF(B54&lt;&gt;"Расход",0,IF(H54&lt;&gt;"",E54*H54,IFERROR(IF(VLOOKUP(D54,Категории!$A$3:$F$27,4,FALSE)="",0,E54*VLOOKUP(D54,Категории!$A$3:$F$27,4,FALSE)),0)))</f>
        <v>0</v>
      </c>
      <c r="M54" s="30" t="str">
        <f>IF(A54="","",IF(NOT(ISNUMBER(A54)),"ДАТА; ","")&amp;IF(NOT(ISNUMBER(E54)),"СУММА; ","")&amp;IF(AND(B54&lt;&gt;"",D54&lt;&gt;"",IFERROR(VLOOKUP(D54,Категории!$A$3:$B$27,2,FALSE),"")&lt;&gt;B54),"ТИП/КАТЕГОРИЯ; ","")&amp;IF(AND(B54="Доход",G54=""),"НЕТ № КВИТАНЦИИ; ","")&amp;IF(AND(B54="Расход",H54="",IFERROR(VLOOKUP(D54,Категории!$A$3:$D$27,4,FALSE),"")=""),"УКАЖИТЕ ДОЛЮ; ","")&amp;IF(COUNTIFS($A$5:$A$504,A54,$B$5:$B$504,B54,$C$5:$C$504,C54,$E$5:$E$504,E54)&gt;1,"ВОЗМОЖНЫЙ ДУБЛЬ; ","")&amp;IF(AND(A54&lt;&gt;"",A55&lt;&gt;"",A54&lt;A55),"ПОРЯДОК ДАТ; ",""))</f>
        <v/>
      </c>
      <c r="N54" s="30">
        <f>IF(A54="","",IF(Настройки_2026!$B$6="ДЕМО",1,IF(I54="ДЕМО",0,1)))</f>
        <v>1</v>
      </c>
    </row>
    <row r="55" spans="1:14" x14ac:dyDescent="0.25">
      <c r="A55" s="26">
        <v>46150</v>
      </c>
      <c r="B55" s="27" t="s">
        <v>112</v>
      </c>
      <c r="C55" s="27" t="s">
        <v>360</v>
      </c>
      <c r="D55" s="27" t="s">
        <v>267</v>
      </c>
      <c r="E55" s="28">
        <v>220</v>
      </c>
      <c r="F55" s="27" t="s">
        <v>137</v>
      </c>
      <c r="G55" s="27" t="s">
        <v>404</v>
      </c>
      <c r="H55" s="29">
        <v>1</v>
      </c>
      <c r="I55" s="27" t="s">
        <v>136</v>
      </c>
      <c r="J55" s="27" t="s">
        <v>347</v>
      </c>
      <c r="K55" s="30">
        <f t="shared" si="0"/>
        <v>5</v>
      </c>
      <c r="L55" s="31">
        <f>IF(B55&lt;&gt;"Расход",0,IF(H55&lt;&gt;"",E55*H55,IFERROR(IF(VLOOKUP(D55,Категории!$A$3:$F$27,4,FALSE)="",0,E55*VLOOKUP(D55,Категории!$A$3:$F$27,4,FALSE)),0)))</f>
        <v>220</v>
      </c>
      <c r="M55" s="30" t="str">
        <f>IF(A55="","",IF(NOT(ISNUMBER(A55)),"ДАТА; ","")&amp;IF(NOT(ISNUMBER(E55)),"СУММА; ","")&amp;IF(AND(B55&lt;&gt;"",D55&lt;&gt;"",IFERROR(VLOOKUP(D55,Категории!$A$3:$B$27,2,FALSE),"")&lt;&gt;B55),"ТИП/КАТЕГОРИЯ; ","")&amp;IF(AND(B55="Доход",G55=""),"НЕТ № КВИТАНЦИИ; ","")&amp;IF(AND(B55="Расход",H55="",IFERROR(VLOOKUP(D55,Категории!$A$3:$D$27,4,FALSE),"")=""),"УКАЖИТЕ ДОЛЮ; ","")&amp;IF(COUNTIFS($A$5:$A$504,A55,$B$5:$B$504,B55,$C$5:$C$504,C55,$E$5:$E$504,E55)&gt;1,"ВОЗМОЖНЫЙ ДУБЛЬ; ","")&amp;IF(AND(A55&lt;&gt;"",A56&lt;&gt;"",A55&lt;A56),"ПОРЯДОК ДАТ; ",""))</f>
        <v/>
      </c>
      <c r="N55" s="30">
        <f>IF(A55="","",IF(Настройки_2026!$B$6="ДЕМО",1,IF(I55="ДЕМО",0,1)))</f>
        <v>1</v>
      </c>
    </row>
    <row r="56" spans="1:14" x14ac:dyDescent="0.25">
      <c r="A56" s="26">
        <v>46148</v>
      </c>
      <c r="B56" s="27" t="s">
        <v>110</v>
      </c>
      <c r="C56" s="27" t="s">
        <v>405</v>
      </c>
      <c r="D56" s="27" t="s">
        <v>250</v>
      </c>
      <c r="E56" s="28">
        <v>4200</v>
      </c>
      <c r="F56" s="27" t="s">
        <v>135</v>
      </c>
      <c r="G56" s="27" t="s">
        <v>406</v>
      </c>
      <c r="H56" s="29"/>
      <c r="I56" s="27" t="s">
        <v>136</v>
      </c>
      <c r="J56" s="27" t="s">
        <v>347</v>
      </c>
      <c r="K56" s="30">
        <f t="shared" si="0"/>
        <v>5</v>
      </c>
      <c r="L56" s="31">
        <f>IF(B56&lt;&gt;"Расход",0,IF(H56&lt;&gt;"",E56*H56,IFERROR(IF(VLOOKUP(D56,Категории!$A$3:$F$27,4,FALSE)="",0,E56*VLOOKUP(D56,Категории!$A$3:$F$27,4,FALSE)),0)))</f>
        <v>0</v>
      </c>
      <c r="M56" s="30" t="str">
        <f>IF(A56="","",IF(NOT(ISNUMBER(A56)),"ДАТА; ","")&amp;IF(NOT(ISNUMBER(E56)),"СУММА; ","")&amp;IF(AND(B56&lt;&gt;"",D56&lt;&gt;"",IFERROR(VLOOKUP(D56,Категории!$A$3:$B$27,2,FALSE),"")&lt;&gt;B56),"ТИП/КАТЕГОРИЯ; ","")&amp;IF(AND(B56="Доход",G56=""),"НЕТ № КВИТАНЦИИ; ","")&amp;IF(AND(B56="Расход",H56="",IFERROR(VLOOKUP(D56,Категории!$A$3:$D$27,4,FALSE),"")=""),"УКАЖИТЕ ДОЛЮ; ","")&amp;IF(COUNTIFS($A$5:$A$504,A56,$B$5:$B$504,B56,$C$5:$C$504,C56,$E$5:$E$504,E56)&gt;1,"ВОЗМОЖНЫЙ ДУБЛЬ; ","")&amp;IF(AND(A56&lt;&gt;"",A57&lt;&gt;"",A56&lt;A57),"ПОРЯДОК ДАТ; ",""))</f>
        <v/>
      </c>
      <c r="N56" s="30">
        <f>IF(A56="","",IF(Настройки_2026!$B$6="ДЕМО",1,IF(I56="ДЕМО",0,1)))</f>
        <v>1</v>
      </c>
    </row>
    <row r="57" spans="1:14" x14ac:dyDescent="0.25">
      <c r="A57" s="26">
        <v>46139</v>
      </c>
      <c r="B57" s="27" t="s">
        <v>116</v>
      </c>
      <c r="C57" s="27" t="s">
        <v>343</v>
      </c>
      <c r="D57" s="27" t="s">
        <v>322</v>
      </c>
      <c r="E57" s="28">
        <v>2000</v>
      </c>
      <c r="F57" s="27" t="s">
        <v>155</v>
      </c>
      <c r="G57" s="27"/>
      <c r="H57" s="29"/>
      <c r="I57" s="27" t="s">
        <v>136</v>
      </c>
      <c r="J57" s="27" t="s">
        <v>344</v>
      </c>
      <c r="K57" s="30">
        <f t="shared" si="0"/>
        <v>4</v>
      </c>
      <c r="L57" s="31">
        <f>IF(B57&lt;&gt;"Расход",0,IF(H57&lt;&gt;"",E57*H57,IFERROR(IF(VLOOKUP(D57,Категории!$A$3:$F$27,4,FALSE)="",0,E57*VLOOKUP(D57,Категории!$A$3:$F$27,4,FALSE)),0)))</f>
        <v>0</v>
      </c>
      <c r="M57" s="30" t="str">
        <f>IF(A57="","",IF(NOT(ISNUMBER(A57)),"ДАТА; ","")&amp;IF(NOT(ISNUMBER(E57)),"СУММА; ","")&amp;IF(AND(B57&lt;&gt;"",D57&lt;&gt;"",IFERROR(VLOOKUP(D57,Категории!$A$3:$B$27,2,FALSE),"")&lt;&gt;B57),"ТИП/КАТЕГОРИЯ; ","")&amp;IF(AND(B57="Доход",G57=""),"НЕТ № КВИТАНЦИИ; ","")&amp;IF(AND(B57="Расход",H57="",IFERROR(VLOOKUP(D57,Категории!$A$3:$D$27,4,FALSE),"")=""),"УКАЖИТЕ ДОЛЮ; ","")&amp;IF(COUNTIFS($A$5:$A$504,A57,$B$5:$B$504,B57,$C$5:$C$504,C57,$E$5:$E$504,E57)&gt;1,"ВОЗМОЖНЫЙ ДУБЛЬ; ","")&amp;IF(AND(A57&lt;&gt;"",A58&lt;&gt;"",A57&lt;A58),"ПОРЯДОК ДАТ; ",""))</f>
        <v/>
      </c>
      <c r="N57" s="30">
        <f>IF(A57="","",IF(Настройки_2026!$B$6="ДЕМО",1,IF(I57="ДЕМО",0,1)))</f>
        <v>1</v>
      </c>
    </row>
    <row r="58" spans="1:14" x14ac:dyDescent="0.25">
      <c r="A58" s="26">
        <v>46136</v>
      </c>
      <c r="B58" s="27" t="s">
        <v>112</v>
      </c>
      <c r="C58" s="27" t="s">
        <v>345</v>
      </c>
      <c r="D58" s="27" t="s">
        <v>273</v>
      </c>
      <c r="E58" s="28">
        <v>95</v>
      </c>
      <c r="F58" s="27" t="s">
        <v>155</v>
      </c>
      <c r="G58" s="27" t="s">
        <v>407</v>
      </c>
      <c r="H58" s="29">
        <v>1</v>
      </c>
      <c r="I58" s="27" t="s">
        <v>136</v>
      </c>
      <c r="J58" s="27" t="s">
        <v>347</v>
      </c>
      <c r="K58" s="30">
        <f t="shared" si="0"/>
        <v>4</v>
      </c>
      <c r="L58" s="31">
        <f>IF(B58&lt;&gt;"Расход",0,IF(H58&lt;&gt;"",E58*H58,IFERROR(IF(VLOOKUP(D58,Категории!$A$3:$F$27,4,FALSE)="",0,E58*VLOOKUP(D58,Категории!$A$3:$F$27,4,FALSE)),0)))</f>
        <v>95</v>
      </c>
      <c r="M58" s="30" t="str">
        <f>IF(A58="","",IF(NOT(ISNUMBER(A58)),"ДАТА; ","")&amp;IF(NOT(ISNUMBER(E58)),"СУММА; ","")&amp;IF(AND(B58&lt;&gt;"",D58&lt;&gt;"",IFERROR(VLOOKUP(D58,Категории!$A$3:$B$27,2,FALSE),"")&lt;&gt;B58),"ТИП/КАТЕГОРИЯ; ","")&amp;IF(AND(B58="Доход",G58=""),"НЕТ № КВИТАНЦИИ; ","")&amp;IF(AND(B58="Расход",H58="",IFERROR(VLOOKUP(D58,Категории!$A$3:$D$27,4,FALSE),"")=""),"УКАЖИТЕ ДОЛЮ; ","")&amp;IF(COUNTIFS($A$5:$A$504,A58,$B$5:$B$504,B58,$C$5:$C$504,C58,$E$5:$E$504,E58)&gt;1,"ВОЗМОЖНЫЙ ДУБЛЬ; ","")&amp;IF(AND(A58&lt;&gt;"",A59&lt;&gt;"",A58&lt;A59),"ПОРЯДОК ДАТ; ",""))</f>
        <v/>
      </c>
      <c r="N58" s="30">
        <f>IF(A58="","",IF(Настройки_2026!$B$6="ДЕМО",1,IF(I58="ДЕМО",0,1)))</f>
        <v>1</v>
      </c>
    </row>
    <row r="59" spans="1:14" x14ac:dyDescent="0.25">
      <c r="A59" s="26">
        <v>46133</v>
      </c>
      <c r="B59" s="27" t="s">
        <v>110</v>
      </c>
      <c r="C59" s="27" t="s">
        <v>348</v>
      </c>
      <c r="D59" s="27" t="s">
        <v>254</v>
      </c>
      <c r="E59" s="28">
        <v>3000</v>
      </c>
      <c r="F59" s="27" t="s">
        <v>135</v>
      </c>
      <c r="G59" s="27" t="s">
        <v>408</v>
      </c>
      <c r="H59" s="29"/>
      <c r="I59" s="27" t="s">
        <v>136</v>
      </c>
      <c r="J59" s="27" t="s">
        <v>347</v>
      </c>
      <c r="K59" s="30">
        <f t="shared" si="0"/>
        <v>4</v>
      </c>
      <c r="L59" s="31">
        <f>IF(B59&lt;&gt;"Расход",0,IF(H59&lt;&gt;"",E59*H59,IFERROR(IF(VLOOKUP(D59,Категории!$A$3:$F$27,4,FALSE)="",0,E59*VLOOKUP(D59,Категории!$A$3:$F$27,4,FALSE)),0)))</f>
        <v>0</v>
      </c>
      <c r="M59" s="30" t="str">
        <f>IF(A59="","",IF(NOT(ISNUMBER(A59)),"ДАТА; ","")&amp;IF(NOT(ISNUMBER(E59)),"СУММА; ","")&amp;IF(AND(B59&lt;&gt;"",D59&lt;&gt;"",IFERROR(VLOOKUP(D59,Категории!$A$3:$B$27,2,FALSE),"")&lt;&gt;B59),"ТИП/КАТЕГОРИЯ; ","")&amp;IF(AND(B59="Доход",G59=""),"НЕТ № КВИТАНЦИИ; ","")&amp;IF(AND(B59="Расход",H59="",IFERROR(VLOOKUP(D59,Категории!$A$3:$D$27,4,FALSE),"")=""),"УКАЖИТЕ ДОЛЮ; ","")&amp;IF(COUNTIFS($A$5:$A$504,A59,$B$5:$B$504,B59,$C$5:$C$504,C59,$E$5:$E$504,E59)&gt;1,"ВОЗМОЖНЫЙ ДУБЛЬ; ","")&amp;IF(AND(A59&lt;&gt;"",A60&lt;&gt;"",A59&lt;A60),"ПОРЯДОК ДАТ; ",""))</f>
        <v/>
      </c>
      <c r="N59" s="30">
        <f>IF(A59="","",IF(Настройки_2026!$B$6="ДЕМО",1,IF(I59="ДЕМО",0,1)))</f>
        <v>1</v>
      </c>
    </row>
    <row r="60" spans="1:14" x14ac:dyDescent="0.25">
      <c r="A60" s="26">
        <v>46130</v>
      </c>
      <c r="B60" s="27" t="s">
        <v>114</v>
      </c>
      <c r="C60" s="27" t="s">
        <v>350</v>
      </c>
      <c r="D60" s="27" t="s">
        <v>316</v>
      </c>
      <c r="E60" s="28">
        <v>500</v>
      </c>
      <c r="F60" s="27" t="s">
        <v>155</v>
      </c>
      <c r="G60" s="27"/>
      <c r="H60" s="29"/>
      <c r="I60" s="27" t="s">
        <v>136</v>
      </c>
      <c r="J60" s="27" t="s">
        <v>351</v>
      </c>
      <c r="K60" s="30">
        <f t="shared" si="0"/>
        <v>4</v>
      </c>
      <c r="L60" s="31">
        <f>IF(B60&lt;&gt;"Расход",0,IF(H60&lt;&gt;"",E60*H60,IFERROR(IF(VLOOKUP(D60,Категории!$A$3:$F$27,4,FALSE)="",0,E60*VLOOKUP(D60,Категории!$A$3:$F$27,4,FALSE)),0)))</f>
        <v>0</v>
      </c>
      <c r="M60" s="30" t="str">
        <f>IF(A60="","",IF(NOT(ISNUMBER(A60)),"ДАТА; ","")&amp;IF(NOT(ISNUMBER(E60)),"СУММА; ","")&amp;IF(AND(B60&lt;&gt;"",D60&lt;&gt;"",IFERROR(VLOOKUP(D60,Категории!$A$3:$B$27,2,FALSE),"")&lt;&gt;B60),"ТИП/КАТЕГОРИЯ; ","")&amp;IF(AND(B60="Доход",G60=""),"НЕТ № КВИТАНЦИИ; ","")&amp;IF(AND(B60="Расход",H60="",IFERROR(VLOOKUP(D60,Категории!$A$3:$D$27,4,FALSE),"")=""),"УКАЖИТЕ ДОЛЮ; ","")&amp;IF(COUNTIFS($A$5:$A$504,A60,$B$5:$B$504,B60,$C$5:$C$504,C60,$E$5:$E$504,E60)&gt;1,"ВОЗМОЖНЫЙ ДУБЛЬ; ","")&amp;IF(AND(A60&lt;&gt;"",A61&lt;&gt;"",A60&lt;A61),"ПОРЯДОК ДАТ; ",""))</f>
        <v/>
      </c>
      <c r="N60" s="30">
        <f>IF(A60="","",IF(Настройки_2026!$B$6="ДЕМО",1,IF(I60="ДЕМО",0,1)))</f>
        <v>1</v>
      </c>
    </row>
    <row r="61" spans="1:14" x14ac:dyDescent="0.25">
      <c r="A61" s="26">
        <v>46129</v>
      </c>
      <c r="B61" s="27" t="s">
        <v>112</v>
      </c>
      <c r="C61" s="27" t="s">
        <v>352</v>
      </c>
      <c r="D61" s="27" t="s">
        <v>263</v>
      </c>
      <c r="E61" s="28">
        <v>520</v>
      </c>
      <c r="F61" s="27" t="s">
        <v>140</v>
      </c>
      <c r="G61" s="27" t="s">
        <v>409</v>
      </c>
      <c r="H61" s="29">
        <v>1</v>
      </c>
      <c r="I61" s="27" t="s">
        <v>136</v>
      </c>
      <c r="J61" s="27" t="s">
        <v>347</v>
      </c>
      <c r="K61" s="30">
        <f t="shared" si="0"/>
        <v>4</v>
      </c>
      <c r="L61" s="31">
        <f>IF(B61&lt;&gt;"Расход",0,IF(H61&lt;&gt;"",E61*H61,IFERROR(IF(VLOOKUP(D61,Категории!$A$3:$F$27,4,FALSE)="",0,E61*VLOOKUP(D61,Категории!$A$3:$F$27,4,FALSE)),0)))</f>
        <v>520</v>
      </c>
      <c r="M61" s="30" t="str">
        <f>IF(A61="","",IF(NOT(ISNUMBER(A61)),"ДАТА; ","")&amp;IF(NOT(ISNUMBER(E61)),"СУММА; ","")&amp;IF(AND(B61&lt;&gt;"",D61&lt;&gt;"",IFERROR(VLOOKUP(D61,Категории!$A$3:$B$27,2,FALSE),"")&lt;&gt;B61),"ТИП/КАТЕГОРИЯ; ","")&amp;IF(AND(B61="Доход",G61=""),"НЕТ № КВИТАНЦИИ; ","")&amp;IF(AND(B61="Расход",H61="",IFERROR(VLOOKUP(D61,Категории!$A$3:$D$27,4,FALSE),"")=""),"УКАЖИТЕ ДОЛЮ; ","")&amp;IF(COUNTIFS($A$5:$A$504,A61,$B$5:$B$504,B61,$C$5:$C$504,C61,$E$5:$E$504,E61)&gt;1,"ВОЗМОЖНЫЙ ДУБЛЬ; ","")&amp;IF(AND(A61&lt;&gt;"",A62&lt;&gt;"",A61&lt;A62),"ПОРЯДОК ДАТ; ",""))</f>
        <v/>
      </c>
      <c r="N61" s="30">
        <f>IF(A61="","",IF(Настройки_2026!$B$6="ДЕМО",1,IF(I61="ДЕМО",0,1)))</f>
        <v>1</v>
      </c>
    </row>
    <row r="62" spans="1:14" x14ac:dyDescent="0.25">
      <c r="A62" s="26">
        <v>46126</v>
      </c>
      <c r="B62" s="27" t="s">
        <v>110</v>
      </c>
      <c r="C62" s="27" t="s">
        <v>410</v>
      </c>
      <c r="D62" s="27" t="s">
        <v>250</v>
      </c>
      <c r="E62" s="28">
        <v>2500</v>
      </c>
      <c r="F62" s="27" t="s">
        <v>146</v>
      </c>
      <c r="G62" s="27" t="s">
        <v>411</v>
      </c>
      <c r="H62" s="29"/>
      <c r="I62" s="27" t="s">
        <v>136</v>
      </c>
      <c r="J62" s="27" t="s">
        <v>347</v>
      </c>
      <c r="K62" s="30">
        <f t="shared" si="0"/>
        <v>4</v>
      </c>
      <c r="L62" s="31">
        <f>IF(B62&lt;&gt;"Расход",0,IF(H62&lt;&gt;"",E62*H62,IFERROR(IF(VLOOKUP(D62,Категории!$A$3:$F$27,4,FALSE)="",0,E62*VLOOKUP(D62,Категории!$A$3:$F$27,4,FALSE)),0)))</f>
        <v>0</v>
      </c>
      <c r="M62" s="30" t="str">
        <f>IF(A62="","",IF(NOT(ISNUMBER(A62)),"ДАТА; ","")&amp;IF(NOT(ISNUMBER(E62)),"СУММА; ","")&amp;IF(AND(B62&lt;&gt;"",D62&lt;&gt;"",IFERROR(VLOOKUP(D62,Категории!$A$3:$B$27,2,FALSE),"")&lt;&gt;B62),"ТИП/КАТЕГОРИЯ; ","")&amp;IF(AND(B62="Доход",G62=""),"НЕТ № КВИТАНЦИИ; ","")&amp;IF(AND(B62="Расход",H62="",IFERROR(VLOOKUP(D62,Категории!$A$3:$D$27,4,FALSE),"")=""),"УКАЖИТЕ ДОЛЮ; ","")&amp;IF(COUNTIFS($A$5:$A$504,A62,$B$5:$B$504,B62,$C$5:$C$504,C62,$E$5:$E$504,E62)&gt;1,"ВОЗМОЖНЫЙ ДУБЛЬ; ","")&amp;IF(AND(A62&lt;&gt;"",A63&lt;&gt;"",A62&lt;A63),"ПОРЯДОК ДАТ; ",""))</f>
        <v/>
      </c>
      <c r="N62" s="30">
        <f>IF(A62="","",IF(Настройки_2026!$B$6="ДЕМО",1,IF(I62="ДЕМО",0,1)))</f>
        <v>1</v>
      </c>
    </row>
    <row r="63" spans="1:14" x14ac:dyDescent="0.25">
      <c r="A63" s="26">
        <v>46124</v>
      </c>
      <c r="B63" s="27" t="s">
        <v>112</v>
      </c>
      <c r="C63" s="27" t="s">
        <v>412</v>
      </c>
      <c r="D63" s="27" t="s">
        <v>282</v>
      </c>
      <c r="E63" s="28">
        <v>650</v>
      </c>
      <c r="F63" s="27" t="s">
        <v>137</v>
      </c>
      <c r="G63" s="27" t="s">
        <v>413</v>
      </c>
      <c r="H63" s="29">
        <v>1</v>
      </c>
      <c r="I63" s="27" t="s">
        <v>136</v>
      </c>
      <c r="J63" s="27" t="s">
        <v>347</v>
      </c>
      <c r="K63" s="30">
        <f t="shared" si="0"/>
        <v>4</v>
      </c>
      <c r="L63" s="31">
        <f>IF(B63&lt;&gt;"Расход",0,IF(H63&lt;&gt;"",E63*H63,IFERROR(IF(VLOOKUP(D63,Категории!$A$3:$F$27,4,FALSE)="",0,E63*VLOOKUP(D63,Категории!$A$3:$F$27,4,FALSE)),0)))</f>
        <v>650</v>
      </c>
      <c r="M63" s="30" t="str">
        <f>IF(A63="","",IF(NOT(ISNUMBER(A63)),"ДАТА; ","")&amp;IF(NOT(ISNUMBER(E63)),"СУММА; ","")&amp;IF(AND(B63&lt;&gt;"",D63&lt;&gt;"",IFERROR(VLOOKUP(D63,Категории!$A$3:$B$27,2,FALSE),"")&lt;&gt;B63),"ТИП/КАТЕГОРИЯ; ","")&amp;IF(AND(B63="Доход",G63=""),"НЕТ № КВИТАНЦИИ; ","")&amp;IF(AND(B63="Расход",H63="",IFERROR(VLOOKUP(D63,Категории!$A$3:$D$27,4,FALSE),"")=""),"УКАЖИТЕ ДОЛЮ; ","")&amp;IF(COUNTIFS($A$5:$A$504,A63,$B$5:$B$504,B63,$C$5:$C$504,C63,$E$5:$E$504,E63)&gt;1,"ВОЗМОЖНЫЙ ДУБЛЬ; ","")&amp;IF(AND(A63&lt;&gt;"",A64&lt;&gt;"",A63&lt;A64),"ПОРЯДОК ДАТ; ",""))</f>
        <v/>
      </c>
      <c r="N63" s="30">
        <f>IF(A63="","",IF(Настройки_2026!$B$6="ДЕМО",1,IF(I63="ДЕМО",0,1)))</f>
        <v>1</v>
      </c>
    </row>
    <row r="64" spans="1:14" ht="25.5" x14ac:dyDescent="0.25">
      <c r="A64" s="26">
        <v>46122</v>
      </c>
      <c r="B64" s="27" t="s">
        <v>114</v>
      </c>
      <c r="C64" s="27" t="s">
        <v>356</v>
      </c>
      <c r="D64" s="27" t="s">
        <v>313</v>
      </c>
      <c r="E64" s="28">
        <v>650</v>
      </c>
      <c r="F64" s="27" t="s">
        <v>155</v>
      </c>
      <c r="G64" s="27"/>
      <c r="H64" s="29"/>
      <c r="I64" s="27" t="s">
        <v>136</v>
      </c>
      <c r="J64" s="27" t="s">
        <v>357</v>
      </c>
      <c r="K64" s="30">
        <f t="shared" si="0"/>
        <v>4</v>
      </c>
      <c r="L64" s="31">
        <f>IF(B64&lt;&gt;"Расход",0,IF(H64&lt;&gt;"",E64*H64,IFERROR(IF(VLOOKUP(D64,Категории!$A$3:$F$27,4,FALSE)="",0,E64*VLOOKUP(D64,Категории!$A$3:$F$27,4,FALSE)),0)))</f>
        <v>0</v>
      </c>
      <c r="M64" s="30" t="str">
        <f>IF(A64="","",IF(NOT(ISNUMBER(A64)),"ДАТА; ","")&amp;IF(NOT(ISNUMBER(E64)),"СУММА; ","")&amp;IF(AND(B64&lt;&gt;"",D64&lt;&gt;"",IFERROR(VLOOKUP(D64,Категории!$A$3:$B$27,2,FALSE),"")&lt;&gt;B64),"ТИП/КАТЕГОРИЯ; ","")&amp;IF(AND(B64="Доход",G64=""),"НЕТ № КВИТАНЦИИ; ","")&amp;IF(AND(B64="Расход",H64="",IFERROR(VLOOKUP(D64,Категории!$A$3:$D$27,4,FALSE),"")=""),"УКАЖИТЕ ДОЛЮ; ","")&amp;IF(COUNTIFS($A$5:$A$504,A64,$B$5:$B$504,B64,$C$5:$C$504,C64,$E$5:$E$504,E64)&gt;1,"ВОЗМОЖНЫЙ ДУБЛЬ; ","")&amp;IF(AND(A64&lt;&gt;"",A65&lt;&gt;"",A64&lt;A65),"ПОРЯДОК ДАТ; ",""))</f>
        <v/>
      </c>
      <c r="N64" s="30">
        <f>IF(A64="","",IF(Настройки_2026!$B$6="ДЕМО",1,IF(I64="ДЕМО",0,1)))</f>
        <v>1</v>
      </c>
    </row>
    <row r="65" spans="1:14" x14ac:dyDescent="0.25">
      <c r="A65" s="26">
        <v>46120</v>
      </c>
      <c r="B65" s="27" t="s">
        <v>112</v>
      </c>
      <c r="C65" s="27" t="s">
        <v>360</v>
      </c>
      <c r="D65" s="27" t="s">
        <v>267</v>
      </c>
      <c r="E65" s="28">
        <v>220</v>
      </c>
      <c r="F65" s="27" t="s">
        <v>137</v>
      </c>
      <c r="G65" s="27" t="s">
        <v>414</v>
      </c>
      <c r="H65" s="29">
        <v>1</v>
      </c>
      <c r="I65" s="27" t="s">
        <v>136</v>
      </c>
      <c r="J65" s="27" t="s">
        <v>347</v>
      </c>
      <c r="K65" s="30">
        <f t="shared" si="0"/>
        <v>4</v>
      </c>
      <c r="L65" s="31">
        <f>IF(B65&lt;&gt;"Расход",0,IF(H65&lt;&gt;"",E65*H65,IFERROR(IF(VLOOKUP(D65,Категории!$A$3:$F$27,4,FALSE)="",0,E65*VLOOKUP(D65,Категории!$A$3:$F$27,4,FALSE)),0)))</f>
        <v>220</v>
      </c>
      <c r="M65" s="30" t="str">
        <f>IF(A65="","",IF(NOT(ISNUMBER(A65)),"ДАТА; ","")&amp;IF(NOT(ISNUMBER(E65)),"СУММА; ","")&amp;IF(AND(B65&lt;&gt;"",D65&lt;&gt;"",IFERROR(VLOOKUP(D65,Категории!$A$3:$B$27,2,FALSE),"")&lt;&gt;B65),"ТИП/КАТЕГОРИЯ; ","")&amp;IF(AND(B65="Доход",G65=""),"НЕТ № КВИТАНЦИИ; ","")&amp;IF(AND(B65="Расход",H65="",IFERROR(VLOOKUP(D65,Категории!$A$3:$D$27,4,FALSE),"")=""),"УКАЖИТЕ ДОЛЮ; ","")&amp;IF(COUNTIFS($A$5:$A$504,A65,$B$5:$B$504,B65,$C$5:$C$504,C65,$E$5:$E$504,E65)&gt;1,"ВОЗМОЖНЫЙ ДУБЛЬ; ","")&amp;IF(AND(A65&lt;&gt;"",A66&lt;&gt;"",A65&lt;A66),"ПОРЯДОК ДАТ; ",""))</f>
        <v/>
      </c>
      <c r="N65" s="30">
        <f>IF(A65="","",IF(Настройки_2026!$B$6="ДЕМО",1,IF(I65="ДЕМО",0,1)))</f>
        <v>1</v>
      </c>
    </row>
    <row r="66" spans="1:14" x14ac:dyDescent="0.25">
      <c r="A66" s="26">
        <v>46118</v>
      </c>
      <c r="B66" s="27" t="s">
        <v>110</v>
      </c>
      <c r="C66" s="27" t="s">
        <v>377</v>
      </c>
      <c r="D66" s="27" t="s">
        <v>250</v>
      </c>
      <c r="E66" s="28">
        <v>3300</v>
      </c>
      <c r="F66" s="27" t="s">
        <v>135</v>
      </c>
      <c r="G66" s="27" t="s">
        <v>415</v>
      </c>
      <c r="H66" s="29"/>
      <c r="I66" s="27" t="s">
        <v>136</v>
      </c>
      <c r="J66" s="27" t="s">
        <v>347</v>
      </c>
      <c r="K66" s="30">
        <f t="shared" si="0"/>
        <v>4</v>
      </c>
      <c r="L66" s="31">
        <f>IF(B66&lt;&gt;"Расход",0,IF(H66&lt;&gt;"",E66*H66,IFERROR(IF(VLOOKUP(D66,Категории!$A$3:$F$27,4,FALSE)="",0,E66*VLOOKUP(D66,Категории!$A$3:$F$27,4,FALSE)),0)))</f>
        <v>0</v>
      </c>
      <c r="M66" s="30" t="str">
        <f>IF(A66="","",IF(NOT(ISNUMBER(A66)),"ДАТА; ","")&amp;IF(NOT(ISNUMBER(E66)),"СУММА; ","")&amp;IF(AND(B66&lt;&gt;"",D66&lt;&gt;"",IFERROR(VLOOKUP(D66,Категории!$A$3:$B$27,2,FALSE),"")&lt;&gt;B66),"ТИП/КАТЕГОРИЯ; ","")&amp;IF(AND(B66="Доход",G66=""),"НЕТ № КВИТАНЦИИ; ","")&amp;IF(AND(B66="Расход",H66="",IFERROR(VLOOKUP(D66,Категории!$A$3:$D$27,4,FALSE),"")=""),"УКАЖИТЕ ДОЛЮ; ","")&amp;IF(COUNTIFS($A$5:$A$504,A66,$B$5:$B$504,B66,$C$5:$C$504,C66,$E$5:$E$504,E66)&gt;1,"ВОЗМОЖНЫЙ ДУБЛЬ; ","")&amp;IF(AND(A66&lt;&gt;"",A67&lt;&gt;"",A66&lt;A67),"ПОРЯДОК ДАТ; ",""))</f>
        <v/>
      </c>
      <c r="N66" s="30">
        <f>IF(A66="","",IF(Настройки_2026!$B$6="ДЕМО",1,IF(I66="ДЕМО",0,1)))</f>
        <v>1</v>
      </c>
    </row>
    <row r="67" spans="1:14" x14ac:dyDescent="0.25">
      <c r="A67" s="26">
        <v>46108</v>
      </c>
      <c r="B67" s="27" t="s">
        <v>116</v>
      </c>
      <c r="C67" s="27" t="s">
        <v>343</v>
      </c>
      <c r="D67" s="27" t="s">
        <v>322</v>
      </c>
      <c r="E67" s="28">
        <v>1950</v>
      </c>
      <c r="F67" s="27" t="s">
        <v>155</v>
      </c>
      <c r="G67" s="27"/>
      <c r="H67" s="29"/>
      <c r="I67" s="27" t="s">
        <v>136</v>
      </c>
      <c r="J67" s="27" t="s">
        <v>344</v>
      </c>
      <c r="K67" s="30">
        <f t="shared" si="0"/>
        <v>3</v>
      </c>
      <c r="L67" s="31">
        <f>IF(B67&lt;&gt;"Расход",0,IF(H67&lt;&gt;"",E67*H67,IFERROR(IF(VLOOKUP(D67,Категории!$A$3:$F$27,4,FALSE)="",0,E67*VLOOKUP(D67,Категории!$A$3:$F$27,4,FALSE)),0)))</f>
        <v>0</v>
      </c>
      <c r="M67" s="30" t="str">
        <f>IF(A67="","",IF(NOT(ISNUMBER(A67)),"ДАТА; ","")&amp;IF(NOT(ISNUMBER(E67)),"СУММА; ","")&amp;IF(AND(B67&lt;&gt;"",D67&lt;&gt;"",IFERROR(VLOOKUP(D67,Категории!$A$3:$B$27,2,FALSE),"")&lt;&gt;B67),"ТИП/КАТЕГОРИЯ; ","")&amp;IF(AND(B67="Доход",G67=""),"НЕТ № КВИТАНЦИИ; ","")&amp;IF(AND(B67="Расход",H67="",IFERROR(VLOOKUP(D67,Категории!$A$3:$D$27,4,FALSE),"")=""),"УКАЖИТЕ ДОЛЮ; ","")&amp;IF(COUNTIFS($A$5:$A$504,A67,$B$5:$B$504,B67,$C$5:$C$504,C67,$E$5:$E$504,E67)&gt;1,"ВОЗМОЖНЫЙ ДУБЛЬ; ","")&amp;IF(AND(A67&lt;&gt;"",A68&lt;&gt;"",A67&lt;A68),"ПОРЯДОК ДАТ; ",""))</f>
        <v/>
      </c>
      <c r="N67" s="30">
        <f>IF(A67="","",IF(Настройки_2026!$B$6="ДЕМО",1,IF(I67="ДЕМО",0,1)))</f>
        <v>1</v>
      </c>
    </row>
    <row r="68" spans="1:14" x14ac:dyDescent="0.25">
      <c r="A68" s="26">
        <v>46105</v>
      </c>
      <c r="B68" s="27" t="s">
        <v>112</v>
      </c>
      <c r="C68" s="27" t="s">
        <v>364</v>
      </c>
      <c r="D68" s="27" t="s">
        <v>288</v>
      </c>
      <c r="E68" s="28">
        <v>180</v>
      </c>
      <c r="F68" s="27" t="s">
        <v>137</v>
      </c>
      <c r="G68" s="27" t="s">
        <v>416</v>
      </c>
      <c r="H68" s="29"/>
      <c r="I68" s="27" t="s">
        <v>136</v>
      </c>
      <c r="J68" s="27" t="s">
        <v>347</v>
      </c>
      <c r="K68" s="30">
        <f t="shared" si="0"/>
        <v>3</v>
      </c>
      <c r="L68" s="31">
        <f>IF(B68&lt;&gt;"Расход",0,IF(H68&lt;&gt;"",E68*H68,IFERROR(IF(VLOOKUP(D68,Категории!$A$3:$F$27,4,FALSE)="",0,E68*VLOOKUP(D68,Категории!$A$3:$F$27,4,FALSE)),0)))</f>
        <v>0</v>
      </c>
      <c r="M68" s="30" t="str">
        <f>IF(A68="","",IF(NOT(ISNUMBER(A68)),"ДАТА; ","")&amp;IF(NOT(ISNUMBER(E68)),"СУММА; ","")&amp;IF(AND(B68&lt;&gt;"",D68&lt;&gt;"",IFERROR(VLOOKUP(D68,Категории!$A$3:$B$27,2,FALSE),"")&lt;&gt;B68),"ТИП/КАТЕГОРИЯ; ","")&amp;IF(AND(B68="Доход",G68=""),"НЕТ № КВИТАНЦИИ; ","")&amp;IF(AND(B68="Расход",H68="",IFERROR(VLOOKUP(D68,Категории!$A$3:$D$27,4,FALSE),"")=""),"УКАЖИТЕ ДОЛЮ; ","")&amp;IF(COUNTIFS($A$5:$A$504,A68,$B$5:$B$504,B68,$C$5:$C$504,C68,$E$5:$E$504,E68)&gt;1,"ВОЗМОЖНЫЙ ДУБЛЬ; ","")&amp;IF(AND(A68&lt;&gt;"",A69&lt;&gt;"",A68&lt;A69),"ПОРЯДОК ДАТ; ",""))</f>
        <v xml:space="preserve">УКАЖИТЕ ДОЛЮ; </v>
      </c>
      <c r="N68" s="30">
        <f>IF(A68="","",IF(Настройки_2026!$B$6="ДЕМО",1,IF(I68="ДЕМО",0,1)))</f>
        <v>1</v>
      </c>
    </row>
    <row r="69" spans="1:14" x14ac:dyDescent="0.25">
      <c r="A69" s="26">
        <v>46102</v>
      </c>
      <c r="B69" s="27" t="s">
        <v>110</v>
      </c>
      <c r="C69" s="27" t="s">
        <v>348</v>
      </c>
      <c r="D69" s="27" t="s">
        <v>254</v>
      </c>
      <c r="E69" s="28">
        <v>3000</v>
      </c>
      <c r="F69" s="27" t="s">
        <v>135</v>
      </c>
      <c r="G69" s="27" t="s">
        <v>417</v>
      </c>
      <c r="H69" s="29"/>
      <c r="I69" s="27" t="s">
        <v>136</v>
      </c>
      <c r="J69" s="27" t="s">
        <v>347</v>
      </c>
      <c r="K69" s="30">
        <f t="shared" ref="K69:K132" si="1">IF(A69="","",MONTH(A69))</f>
        <v>3</v>
      </c>
      <c r="L69" s="31">
        <f>IF(B69&lt;&gt;"Расход",0,IF(H69&lt;&gt;"",E69*H69,IFERROR(IF(VLOOKUP(D69,Категории!$A$3:$F$27,4,FALSE)="",0,E69*VLOOKUP(D69,Категории!$A$3:$F$27,4,FALSE)),0)))</f>
        <v>0</v>
      </c>
      <c r="M69" s="30" t="str">
        <f>IF(A69="","",IF(NOT(ISNUMBER(A69)),"ДАТА; ","")&amp;IF(NOT(ISNUMBER(E69)),"СУММА; ","")&amp;IF(AND(B69&lt;&gt;"",D69&lt;&gt;"",IFERROR(VLOOKUP(D69,Категории!$A$3:$B$27,2,FALSE),"")&lt;&gt;B69),"ТИП/КАТЕГОРИЯ; ","")&amp;IF(AND(B69="Доход",G69=""),"НЕТ № КВИТАНЦИИ; ","")&amp;IF(AND(B69="Расход",H69="",IFERROR(VLOOKUP(D69,Категории!$A$3:$D$27,4,FALSE),"")=""),"УКАЖИТЕ ДОЛЮ; ","")&amp;IF(COUNTIFS($A$5:$A$504,A69,$B$5:$B$504,B69,$C$5:$C$504,C69,$E$5:$E$504,E69)&gt;1,"ВОЗМОЖНЫЙ ДУБЛЬ; ","")&amp;IF(AND(A69&lt;&gt;"",A70&lt;&gt;"",A69&lt;A70),"ПОРЯДОК ДАТ; ",""))</f>
        <v/>
      </c>
      <c r="N69" s="30">
        <f>IF(A69="","",IF(Настройки_2026!$B$6="ДЕМО",1,IF(I69="ДЕМО",0,1)))</f>
        <v>1</v>
      </c>
    </row>
    <row r="70" spans="1:14" x14ac:dyDescent="0.25">
      <c r="A70" s="26">
        <v>46099</v>
      </c>
      <c r="B70" s="27" t="s">
        <v>114</v>
      </c>
      <c r="C70" s="27" t="s">
        <v>350</v>
      </c>
      <c r="D70" s="27" t="s">
        <v>316</v>
      </c>
      <c r="E70" s="28">
        <v>500</v>
      </c>
      <c r="F70" s="27" t="s">
        <v>155</v>
      </c>
      <c r="G70" s="27"/>
      <c r="H70" s="29"/>
      <c r="I70" s="27" t="s">
        <v>136</v>
      </c>
      <c r="J70" s="27" t="s">
        <v>351</v>
      </c>
      <c r="K70" s="30">
        <f t="shared" si="1"/>
        <v>3</v>
      </c>
      <c r="L70" s="31">
        <f>IF(B70&lt;&gt;"Расход",0,IF(H70&lt;&gt;"",E70*H70,IFERROR(IF(VLOOKUP(D70,Категории!$A$3:$F$27,4,FALSE)="",0,E70*VLOOKUP(D70,Категории!$A$3:$F$27,4,FALSE)),0)))</f>
        <v>0</v>
      </c>
      <c r="M70" s="30" t="str">
        <f>IF(A70="","",IF(NOT(ISNUMBER(A70)),"ДАТА; ","")&amp;IF(NOT(ISNUMBER(E70)),"СУММА; ","")&amp;IF(AND(B70&lt;&gt;"",D70&lt;&gt;"",IFERROR(VLOOKUP(D70,Категории!$A$3:$B$27,2,FALSE),"")&lt;&gt;B70),"ТИП/КАТЕГОРИЯ; ","")&amp;IF(AND(B70="Доход",G70=""),"НЕТ № КВИТАНЦИИ; ","")&amp;IF(AND(B70="Расход",H70="",IFERROR(VLOOKUP(D70,Категории!$A$3:$D$27,4,FALSE),"")=""),"УКАЖИТЕ ДОЛЮ; ","")&amp;IF(COUNTIFS($A$5:$A$504,A70,$B$5:$B$504,B70,$C$5:$C$504,C70,$E$5:$E$504,E70)&gt;1,"ВОЗМОЖНЫЙ ДУБЛЬ; ","")&amp;IF(AND(A70&lt;&gt;"",A71&lt;&gt;"",A70&lt;A71),"ПОРЯДОК ДАТ; ",""))</f>
        <v/>
      </c>
      <c r="N70" s="30">
        <f>IF(A70="","",IF(Настройки_2026!$B$6="ДЕМО",1,IF(I70="ДЕМО",0,1)))</f>
        <v>1</v>
      </c>
    </row>
    <row r="71" spans="1:14" x14ac:dyDescent="0.25">
      <c r="A71" s="26">
        <v>46098</v>
      </c>
      <c r="B71" s="27" t="s">
        <v>112</v>
      </c>
      <c r="C71" s="27" t="s">
        <v>352</v>
      </c>
      <c r="D71" s="27" t="s">
        <v>263</v>
      </c>
      <c r="E71" s="28">
        <v>680</v>
      </c>
      <c r="F71" s="27" t="s">
        <v>140</v>
      </c>
      <c r="G71" s="27" t="s">
        <v>418</v>
      </c>
      <c r="H71" s="29">
        <v>1</v>
      </c>
      <c r="I71" s="27" t="s">
        <v>136</v>
      </c>
      <c r="J71" s="27" t="s">
        <v>347</v>
      </c>
      <c r="K71" s="30">
        <f t="shared" si="1"/>
        <v>3</v>
      </c>
      <c r="L71" s="31">
        <f>IF(B71&lt;&gt;"Расход",0,IF(H71&lt;&gt;"",E71*H71,IFERROR(IF(VLOOKUP(D71,Категории!$A$3:$F$27,4,FALSE)="",0,E71*VLOOKUP(D71,Категории!$A$3:$F$27,4,FALSE)),0)))</f>
        <v>680</v>
      </c>
      <c r="M71" s="30" t="str">
        <f>IF(A71="","",IF(NOT(ISNUMBER(A71)),"ДАТА; ","")&amp;IF(NOT(ISNUMBER(E71)),"СУММА; ","")&amp;IF(AND(B71&lt;&gt;"",D71&lt;&gt;"",IFERROR(VLOOKUP(D71,Категории!$A$3:$B$27,2,FALSE),"")&lt;&gt;B71),"ТИП/КАТЕГОРИЯ; ","")&amp;IF(AND(B71="Доход",G71=""),"НЕТ № КВИТАНЦИИ; ","")&amp;IF(AND(B71="Расход",H71="",IFERROR(VLOOKUP(D71,Категории!$A$3:$D$27,4,FALSE),"")=""),"УКАЖИТЕ ДОЛЮ; ","")&amp;IF(COUNTIFS($A$5:$A$504,A71,$B$5:$B$504,B71,$C$5:$C$504,C71,$E$5:$E$504,E71)&gt;1,"ВОЗМОЖНЫЙ ДУБЛЬ; ","")&amp;IF(AND(A71&lt;&gt;"",A72&lt;&gt;"",A71&lt;A72),"ПОРЯДОК ДАТ; ",""))</f>
        <v/>
      </c>
      <c r="N71" s="30">
        <f>IF(A71="","",IF(Настройки_2026!$B$6="ДЕМО",1,IF(I71="ДЕМО",0,1)))</f>
        <v>1</v>
      </c>
    </row>
    <row r="72" spans="1:14" x14ac:dyDescent="0.25">
      <c r="A72" s="26">
        <v>46095</v>
      </c>
      <c r="B72" s="27" t="s">
        <v>110</v>
      </c>
      <c r="C72" s="27" t="s">
        <v>371</v>
      </c>
      <c r="D72" s="27" t="s">
        <v>250</v>
      </c>
      <c r="E72" s="28">
        <v>2500</v>
      </c>
      <c r="F72" s="27" t="s">
        <v>146</v>
      </c>
      <c r="G72" s="27" t="s">
        <v>419</v>
      </c>
      <c r="H72" s="29"/>
      <c r="I72" s="27" t="s">
        <v>136</v>
      </c>
      <c r="J72" s="27" t="s">
        <v>347</v>
      </c>
      <c r="K72" s="30">
        <f t="shared" si="1"/>
        <v>3</v>
      </c>
      <c r="L72" s="31">
        <f>IF(B72&lt;&gt;"Расход",0,IF(H72&lt;&gt;"",E72*H72,IFERROR(IF(VLOOKUP(D72,Категории!$A$3:$F$27,4,FALSE)="",0,E72*VLOOKUP(D72,Категории!$A$3:$F$27,4,FALSE)),0)))</f>
        <v>0</v>
      </c>
      <c r="M72" s="30" t="str">
        <f>IF(A72="","",IF(NOT(ISNUMBER(A72)),"ДАТА; ","")&amp;IF(NOT(ISNUMBER(E72)),"СУММА; ","")&amp;IF(AND(B72&lt;&gt;"",D72&lt;&gt;"",IFERROR(VLOOKUP(D72,Категории!$A$3:$B$27,2,FALSE),"")&lt;&gt;B72),"ТИП/КАТЕГОРИЯ; ","")&amp;IF(AND(B72="Доход",G72=""),"НЕТ № КВИТАНЦИИ; ","")&amp;IF(AND(B72="Расход",H72="",IFERROR(VLOOKUP(D72,Категории!$A$3:$D$27,4,FALSE),"")=""),"УКАЖИТЕ ДОЛЮ; ","")&amp;IF(COUNTIFS($A$5:$A$504,A72,$B$5:$B$504,B72,$C$5:$C$504,C72,$E$5:$E$504,E72)&gt;1,"ВОЗМОЖНЫЙ ДУБЛЬ; ","")&amp;IF(AND(A72&lt;&gt;"",A73&lt;&gt;"",A72&lt;A73),"ПОРЯДОК ДАТ; ",""))</f>
        <v/>
      </c>
      <c r="N72" s="30">
        <f>IF(A72="","",IF(Настройки_2026!$B$6="ДЕМО",1,IF(I72="ДЕМО",0,1)))</f>
        <v>1</v>
      </c>
    </row>
    <row r="73" spans="1:14" x14ac:dyDescent="0.25">
      <c r="A73" s="26">
        <v>46093</v>
      </c>
      <c r="B73" s="27" t="s">
        <v>112</v>
      </c>
      <c r="C73" s="27" t="s">
        <v>358</v>
      </c>
      <c r="D73" s="27" t="s">
        <v>270</v>
      </c>
      <c r="E73" s="28">
        <v>500</v>
      </c>
      <c r="F73" s="27" t="s">
        <v>137</v>
      </c>
      <c r="G73" s="27" t="s">
        <v>420</v>
      </c>
      <c r="H73" s="29">
        <v>1</v>
      </c>
      <c r="I73" s="27" t="s">
        <v>136</v>
      </c>
      <c r="J73" s="27" t="s">
        <v>347</v>
      </c>
      <c r="K73" s="30">
        <f t="shared" si="1"/>
        <v>3</v>
      </c>
      <c r="L73" s="31">
        <f>IF(B73&lt;&gt;"Расход",0,IF(H73&lt;&gt;"",E73*H73,IFERROR(IF(VLOOKUP(D73,Категории!$A$3:$F$27,4,FALSE)="",0,E73*VLOOKUP(D73,Категории!$A$3:$F$27,4,FALSE)),0)))</f>
        <v>500</v>
      </c>
      <c r="M73" s="30" t="str">
        <f>IF(A73="","",IF(NOT(ISNUMBER(A73)),"ДАТА; ","")&amp;IF(NOT(ISNUMBER(E73)),"СУММА; ","")&amp;IF(AND(B73&lt;&gt;"",D73&lt;&gt;"",IFERROR(VLOOKUP(D73,Категории!$A$3:$B$27,2,FALSE),"")&lt;&gt;B73),"ТИП/КАТЕГОРИЯ; ","")&amp;IF(AND(B73="Доход",G73=""),"НЕТ № КВИТАНЦИИ; ","")&amp;IF(AND(B73="Расход",H73="",IFERROR(VLOOKUP(D73,Категории!$A$3:$D$27,4,FALSE),"")=""),"УКАЖИТЕ ДОЛЮ; ","")&amp;IF(COUNTIFS($A$5:$A$504,A73,$B$5:$B$504,B73,$C$5:$C$504,C73,$E$5:$E$504,E73)&gt;1,"ВОЗМОЖНЫЙ ДУБЛЬ; ","")&amp;IF(AND(A73&lt;&gt;"",A74&lt;&gt;"",A73&lt;A74),"ПОРЯДОК ДАТ; ",""))</f>
        <v/>
      </c>
      <c r="N73" s="30">
        <f>IF(A73="","",IF(Настройки_2026!$B$6="ДЕМО",1,IF(I73="ДЕМО",0,1)))</f>
        <v>1</v>
      </c>
    </row>
    <row r="74" spans="1:14" ht="25.5" x14ac:dyDescent="0.25">
      <c r="A74" s="26">
        <v>46091</v>
      </c>
      <c r="B74" s="27" t="s">
        <v>114</v>
      </c>
      <c r="C74" s="27" t="s">
        <v>356</v>
      </c>
      <c r="D74" s="27" t="s">
        <v>313</v>
      </c>
      <c r="E74" s="28">
        <v>650</v>
      </c>
      <c r="F74" s="27" t="s">
        <v>155</v>
      </c>
      <c r="G74" s="27"/>
      <c r="H74" s="29"/>
      <c r="I74" s="27" t="s">
        <v>136</v>
      </c>
      <c r="J74" s="27" t="s">
        <v>357</v>
      </c>
      <c r="K74" s="30">
        <f t="shared" si="1"/>
        <v>3</v>
      </c>
      <c r="L74" s="31">
        <f>IF(B74&lt;&gt;"Расход",0,IF(H74&lt;&gt;"",E74*H74,IFERROR(IF(VLOOKUP(D74,Категории!$A$3:$F$27,4,FALSE)="",0,E74*VLOOKUP(D74,Категории!$A$3:$F$27,4,FALSE)),0)))</f>
        <v>0</v>
      </c>
      <c r="M74" s="30" t="str">
        <f>IF(A74="","",IF(NOT(ISNUMBER(A74)),"ДАТА; ","")&amp;IF(NOT(ISNUMBER(E74)),"СУММА; ","")&amp;IF(AND(B74&lt;&gt;"",D74&lt;&gt;"",IFERROR(VLOOKUP(D74,Категории!$A$3:$B$27,2,FALSE),"")&lt;&gt;B74),"ТИП/КАТЕГОРИЯ; ","")&amp;IF(AND(B74="Доход",G74=""),"НЕТ № КВИТАНЦИИ; ","")&amp;IF(AND(B74="Расход",H74="",IFERROR(VLOOKUP(D74,Категории!$A$3:$D$27,4,FALSE),"")=""),"УКАЖИТЕ ДОЛЮ; ","")&amp;IF(COUNTIFS($A$5:$A$504,A74,$B$5:$B$504,B74,$C$5:$C$504,C74,$E$5:$E$504,E74)&gt;1,"ВОЗМОЖНЫЙ ДУБЛЬ; ","")&amp;IF(AND(A74&lt;&gt;"",A75&lt;&gt;"",A74&lt;A75),"ПОРЯДОК ДАТ; ",""))</f>
        <v/>
      </c>
      <c r="N74" s="30">
        <f>IF(A74="","",IF(Настройки_2026!$B$6="ДЕМО",1,IF(I74="ДЕМО",0,1)))</f>
        <v>1</v>
      </c>
    </row>
    <row r="75" spans="1:14" x14ac:dyDescent="0.25">
      <c r="A75" s="26">
        <v>46089</v>
      </c>
      <c r="B75" s="27" t="s">
        <v>112</v>
      </c>
      <c r="C75" s="27" t="s">
        <v>360</v>
      </c>
      <c r="D75" s="27" t="s">
        <v>267</v>
      </c>
      <c r="E75" s="28">
        <v>220</v>
      </c>
      <c r="F75" s="27" t="s">
        <v>137</v>
      </c>
      <c r="G75" s="27" t="s">
        <v>421</v>
      </c>
      <c r="H75" s="29">
        <v>1</v>
      </c>
      <c r="I75" s="27" t="s">
        <v>136</v>
      </c>
      <c r="J75" s="27" t="s">
        <v>347</v>
      </c>
      <c r="K75" s="30">
        <f t="shared" si="1"/>
        <v>3</v>
      </c>
      <c r="L75" s="31">
        <f>IF(B75&lt;&gt;"Расход",0,IF(H75&lt;&gt;"",E75*H75,IFERROR(IF(VLOOKUP(D75,Категории!$A$3:$F$27,4,FALSE)="",0,E75*VLOOKUP(D75,Категории!$A$3:$F$27,4,FALSE)),0)))</f>
        <v>220</v>
      </c>
      <c r="M75" s="30" t="str">
        <f>IF(A75="","",IF(NOT(ISNUMBER(A75)),"ДАТА; ","")&amp;IF(NOT(ISNUMBER(E75)),"СУММА; ","")&amp;IF(AND(B75&lt;&gt;"",D75&lt;&gt;"",IFERROR(VLOOKUP(D75,Категории!$A$3:$B$27,2,FALSE),"")&lt;&gt;B75),"ТИП/КАТЕГОРИЯ; ","")&amp;IF(AND(B75="Доход",G75=""),"НЕТ № КВИТАНЦИИ; ","")&amp;IF(AND(B75="Расход",H75="",IFERROR(VLOOKUP(D75,Категории!$A$3:$D$27,4,FALSE),"")=""),"УКАЖИТЕ ДОЛЮ; ","")&amp;IF(COUNTIFS($A$5:$A$504,A75,$B$5:$B$504,B75,$C$5:$C$504,C75,$E$5:$E$504,E75)&gt;1,"ВОЗМОЖНЫЙ ДУБЛЬ; ","")&amp;IF(AND(A75&lt;&gt;"",A76&lt;&gt;"",A75&lt;A76),"ПОРЯДОК ДАТ; ",""))</f>
        <v/>
      </c>
      <c r="N75" s="30">
        <f>IF(A75="","",IF(Настройки_2026!$B$6="ДЕМО",1,IF(I75="ДЕМО",0,1)))</f>
        <v>1</v>
      </c>
    </row>
    <row r="76" spans="1:14" x14ac:dyDescent="0.25">
      <c r="A76" s="26">
        <v>46087</v>
      </c>
      <c r="B76" s="27" t="s">
        <v>110</v>
      </c>
      <c r="C76" s="27" t="s">
        <v>405</v>
      </c>
      <c r="D76" s="27" t="s">
        <v>250</v>
      </c>
      <c r="E76" s="28">
        <v>4000</v>
      </c>
      <c r="F76" s="27" t="s">
        <v>135</v>
      </c>
      <c r="G76" s="27" t="s">
        <v>422</v>
      </c>
      <c r="H76" s="29"/>
      <c r="I76" s="27" t="s">
        <v>136</v>
      </c>
      <c r="J76" s="27" t="s">
        <v>347</v>
      </c>
      <c r="K76" s="30">
        <f t="shared" si="1"/>
        <v>3</v>
      </c>
      <c r="L76" s="31">
        <f>IF(B76&lt;&gt;"Расход",0,IF(H76&lt;&gt;"",E76*H76,IFERROR(IF(VLOOKUP(D76,Категории!$A$3:$F$27,4,FALSE)="",0,E76*VLOOKUP(D76,Категории!$A$3:$F$27,4,FALSE)),0)))</f>
        <v>0</v>
      </c>
      <c r="M76" s="30" t="str">
        <f>IF(A76="","",IF(NOT(ISNUMBER(A76)),"ДАТА; ","")&amp;IF(NOT(ISNUMBER(E76)),"СУММА; ","")&amp;IF(AND(B76&lt;&gt;"",D76&lt;&gt;"",IFERROR(VLOOKUP(D76,Категории!$A$3:$B$27,2,FALSE),"")&lt;&gt;B76),"ТИП/КАТЕГОРИЯ; ","")&amp;IF(AND(B76="Доход",G76=""),"НЕТ № КВИТАНЦИИ; ","")&amp;IF(AND(B76="Расход",H76="",IFERROR(VLOOKUP(D76,Категории!$A$3:$D$27,4,FALSE),"")=""),"УКАЖИТЕ ДОЛЮ; ","")&amp;IF(COUNTIFS($A$5:$A$504,A76,$B$5:$B$504,B76,$C$5:$C$504,C76,$E$5:$E$504,E76)&gt;1,"ВОЗМОЖНЫЙ ДУБЛЬ; ","")&amp;IF(AND(A76&lt;&gt;"",A77&lt;&gt;"",A76&lt;A77),"ПОРЯДОК ДАТ; ",""))</f>
        <v/>
      </c>
      <c r="N76" s="30">
        <f>IF(A76="","",IF(Настройки_2026!$B$6="ДЕМО",1,IF(I76="ДЕМО",0,1)))</f>
        <v>1</v>
      </c>
    </row>
    <row r="77" spans="1:14" x14ac:dyDescent="0.25">
      <c r="A77" s="26">
        <v>46080</v>
      </c>
      <c r="B77" s="27" t="s">
        <v>116</v>
      </c>
      <c r="C77" s="27" t="s">
        <v>343</v>
      </c>
      <c r="D77" s="27" t="s">
        <v>322</v>
      </c>
      <c r="E77" s="28">
        <v>1900</v>
      </c>
      <c r="F77" s="27" t="s">
        <v>155</v>
      </c>
      <c r="G77" s="27"/>
      <c r="H77" s="29"/>
      <c r="I77" s="27" t="s">
        <v>136</v>
      </c>
      <c r="J77" s="27" t="s">
        <v>344</v>
      </c>
      <c r="K77" s="30">
        <f t="shared" si="1"/>
        <v>2</v>
      </c>
      <c r="L77" s="31">
        <f>IF(B77&lt;&gt;"Расход",0,IF(H77&lt;&gt;"",E77*H77,IFERROR(IF(VLOOKUP(D77,Категории!$A$3:$F$27,4,FALSE)="",0,E77*VLOOKUP(D77,Категории!$A$3:$F$27,4,FALSE)),0)))</f>
        <v>0</v>
      </c>
      <c r="M77" s="30" t="str">
        <f>IF(A77="","",IF(NOT(ISNUMBER(A77)),"ДАТА; ","")&amp;IF(NOT(ISNUMBER(E77)),"СУММА; ","")&amp;IF(AND(B77&lt;&gt;"",D77&lt;&gt;"",IFERROR(VLOOKUP(D77,Категории!$A$3:$B$27,2,FALSE),"")&lt;&gt;B77),"ТИП/КАТЕГОРИЯ; ","")&amp;IF(AND(B77="Доход",G77=""),"НЕТ № КВИТАНЦИИ; ","")&amp;IF(AND(B77="Расход",H77="",IFERROR(VLOOKUP(D77,Категории!$A$3:$D$27,4,FALSE),"")=""),"УКАЖИТЕ ДОЛЮ; ","")&amp;IF(COUNTIFS($A$5:$A$504,A77,$B$5:$B$504,B77,$C$5:$C$504,C77,$E$5:$E$504,E77)&gt;1,"ВОЗМОЖНЫЙ ДУБЛЬ; ","")&amp;IF(AND(A77&lt;&gt;"",A78&lt;&gt;"",A77&lt;A78),"ПОРЯДОК ДАТ; ",""))</f>
        <v/>
      </c>
      <c r="N77" s="30">
        <f>IF(A77="","",IF(Настройки_2026!$B$6="ДЕМО",1,IF(I77="ДЕМО",0,1)))</f>
        <v>1</v>
      </c>
    </row>
    <row r="78" spans="1:14" x14ac:dyDescent="0.25">
      <c r="A78" s="26">
        <v>46077</v>
      </c>
      <c r="B78" s="27" t="s">
        <v>112</v>
      </c>
      <c r="C78" s="27" t="s">
        <v>379</v>
      </c>
      <c r="D78" s="27" t="s">
        <v>292</v>
      </c>
      <c r="E78" s="28">
        <v>280</v>
      </c>
      <c r="F78" s="27" t="s">
        <v>137</v>
      </c>
      <c r="G78" s="27" t="s">
        <v>423</v>
      </c>
      <c r="H78" s="29"/>
      <c r="I78" s="27" t="s">
        <v>136</v>
      </c>
      <c r="J78" s="27" t="s">
        <v>347</v>
      </c>
      <c r="K78" s="30">
        <f t="shared" si="1"/>
        <v>2</v>
      </c>
      <c r="L78" s="31">
        <f>IF(B78&lt;&gt;"Расход",0,IF(H78&lt;&gt;"",E78*H78,IFERROR(IF(VLOOKUP(D78,Категории!$A$3:$F$27,4,FALSE)="",0,E78*VLOOKUP(D78,Категории!$A$3:$F$27,4,FALSE)),0)))</f>
        <v>0</v>
      </c>
      <c r="M78" s="30" t="str">
        <f>IF(A78="","",IF(NOT(ISNUMBER(A78)),"ДАТА; ","")&amp;IF(NOT(ISNUMBER(E78)),"СУММА; ","")&amp;IF(AND(B78&lt;&gt;"",D78&lt;&gt;"",IFERROR(VLOOKUP(D78,Категории!$A$3:$B$27,2,FALSE),"")&lt;&gt;B78),"ТИП/КАТЕГОРИЯ; ","")&amp;IF(AND(B78="Доход",G78=""),"НЕТ № КВИТАНЦИИ; ","")&amp;IF(AND(B78="Расход",H78="",IFERROR(VLOOKUP(D78,Категории!$A$3:$D$27,4,FALSE),"")=""),"УКАЖИТЕ ДОЛЮ; ","")&amp;IF(COUNTIFS($A$5:$A$504,A78,$B$5:$B$504,B78,$C$5:$C$504,C78,$E$5:$E$504,E78)&gt;1,"ВОЗМОЖНЫЙ ДУБЛЬ; ","")&amp;IF(AND(A78&lt;&gt;"",A79&lt;&gt;"",A78&lt;A79),"ПОРЯДОК ДАТ; ",""))</f>
        <v xml:space="preserve">УКАЖИТЕ ДОЛЮ; </v>
      </c>
      <c r="N78" s="30">
        <f>IF(A78="","",IF(Настройки_2026!$B$6="ДЕМО",1,IF(I78="ДЕМО",0,1)))</f>
        <v>1</v>
      </c>
    </row>
    <row r="79" spans="1:14" x14ac:dyDescent="0.25">
      <c r="A79" s="26">
        <v>46074</v>
      </c>
      <c r="B79" s="27" t="s">
        <v>110</v>
      </c>
      <c r="C79" s="27" t="s">
        <v>348</v>
      </c>
      <c r="D79" s="27" t="s">
        <v>254</v>
      </c>
      <c r="E79" s="28">
        <v>3000</v>
      </c>
      <c r="F79" s="27" t="s">
        <v>135</v>
      </c>
      <c r="G79" s="27" t="s">
        <v>424</v>
      </c>
      <c r="H79" s="29"/>
      <c r="I79" s="27" t="s">
        <v>136</v>
      </c>
      <c r="J79" s="27" t="s">
        <v>347</v>
      </c>
      <c r="K79" s="30">
        <f t="shared" si="1"/>
        <v>2</v>
      </c>
      <c r="L79" s="31">
        <f>IF(B79&lt;&gt;"Расход",0,IF(H79&lt;&gt;"",E79*H79,IFERROR(IF(VLOOKUP(D79,Категории!$A$3:$F$27,4,FALSE)="",0,E79*VLOOKUP(D79,Категории!$A$3:$F$27,4,FALSE)),0)))</f>
        <v>0</v>
      </c>
      <c r="M79" s="30" t="str">
        <f>IF(A79="","",IF(NOT(ISNUMBER(A79)),"ДАТА; ","")&amp;IF(NOT(ISNUMBER(E79)),"СУММА; ","")&amp;IF(AND(B79&lt;&gt;"",D79&lt;&gt;"",IFERROR(VLOOKUP(D79,Категории!$A$3:$B$27,2,FALSE),"")&lt;&gt;B79),"ТИП/КАТЕГОРИЯ; ","")&amp;IF(AND(B79="Доход",G79=""),"НЕТ № КВИТАНЦИИ; ","")&amp;IF(AND(B79="Расход",H79="",IFERROR(VLOOKUP(D79,Категории!$A$3:$D$27,4,FALSE),"")=""),"УКАЖИТЕ ДОЛЮ; ","")&amp;IF(COUNTIFS($A$5:$A$504,A79,$B$5:$B$504,B79,$C$5:$C$504,C79,$E$5:$E$504,E79)&gt;1,"ВОЗМОЖНЫЙ ДУБЛЬ; ","")&amp;IF(AND(A79&lt;&gt;"",A80&lt;&gt;"",A79&lt;A80),"ПОРЯДОК ДАТ; ",""))</f>
        <v/>
      </c>
      <c r="N79" s="30">
        <f>IF(A79="","",IF(Настройки_2026!$B$6="ДЕМО",1,IF(I79="ДЕМО",0,1)))</f>
        <v>1</v>
      </c>
    </row>
    <row r="80" spans="1:14" x14ac:dyDescent="0.25">
      <c r="A80" s="26">
        <v>46071</v>
      </c>
      <c r="B80" s="27" t="s">
        <v>114</v>
      </c>
      <c r="C80" s="27" t="s">
        <v>350</v>
      </c>
      <c r="D80" s="27" t="s">
        <v>316</v>
      </c>
      <c r="E80" s="28">
        <v>500</v>
      </c>
      <c r="F80" s="27" t="s">
        <v>155</v>
      </c>
      <c r="G80" s="27"/>
      <c r="H80" s="29"/>
      <c r="I80" s="27" t="s">
        <v>136</v>
      </c>
      <c r="J80" s="27" t="s">
        <v>351</v>
      </c>
      <c r="K80" s="30">
        <f t="shared" si="1"/>
        <v>2</v>
      </c>
      <c r="L80" s="31">
        <f>IF(B80&lt;&gt;"Расход",0,IF(H80&lt;&gt;"",E80*H80,IFERROR(IF(VLOOKUP(D80,Категории!$A$3:$F$27,4,FALSE)="",0,E80*VLOOKUP(D80,Категории!$A$3:$F$27,4,FALSE)),0)))</f>
        <v>0</v>
      </c>
      <c r="M80" s="30" t="str">
        <f>IF(A80="","",IF(NOT(ISNUMBER(A80)),"ДАТА; ","")&amp;IF(NOT(ISNUMBER(E80)),"СУММА; ","")&amp;IF(AND(B80&lt;&gt;"",D80&lt;&gt;"",IFERROR(VLOOKUP(D80,Категории!$A$3:$B$27,2,FALSE),"")&lt;&gt;B80),"ТИП/КАТЕГОРИЯ; ","")&amp;IF(AND(B80="Доход",G80=""),"НЕТ № КВИТАНЦИИ; ","")&amp;IF(AND(B80="Расход",H80="",IFERROR(VLOOKUP(D80,Категории!$A$3:$D$27,4,FALSE),"")=""),"УКАЖИТЕ ДОЛЮ; ","")&amp;IF(COUNTIFS($A$5:$A$504,A80,$B$5:$B$504,B80,$C$5:$C$504,C80,$E$5:$E$504,E80)&gt;1,"ВОЗМОЖНЫЙ ДУБЛЬ; ","")&amp;IF(AND(A80&lt;&gt;"",A81&lt;&gt;"",A80&lt;A81),"ПОРЯДОК ДАТ; ",""))</f>
        <v/>
      </c>
      <c r="N80" s="30">
        <f>IF(A80="","",IF(Настройки_2026!$B$6="ДЕМО",1,IF(I80="ДЕМО",0,1)))</f>
        <v>1</v>
      </c>
    </row>
    <row r="81" spans="1:14" x14ac:dyDescent="0.25">
      <c r="A81" s="26">
        <v>46070</v>
      </c>
      <c r="B81" s="27" t="s">
        <v>112</v>
      </c>
      <c r="C81" s="27" t="s">
        <v>352</v>
      </c>
      <c r="D81" s="27" t="s">
        <v>263</v>
      </c>
      <c r="E81" s="28">
        <v>740</v>
      </c>
      <c r="F81" s="27" t="s">
        <v>140</v>
      </c>
      <c r="G81" s="27" t="s">
        <v>425</v>
      </c>
      <c r="H81" s="29">
        <v>1</v>
      </c>
      <c r="I81" s="27" t="s">
        <v>136</v>
      </c>
      <c r="J81" s="27" t="s">
        <v>347</v>
      </c>
      <c r="K81" s="30">
        <f t="shared" si="1"/>
        <v>2</v>
      </c>
      <c r="L81" s="31">
        <f>IF(B81&lt;&gt;"Расход",0,IF(H81&lt;&gt;"",E81*H81,IFERROR(IF(VLOOKUP(D81,Категории!$A$3:$F$27,4,FALSE)="",0,E81*VLOOKUP(D81,Категории!$A$3:$F$27,4,FALSE)),0)))</f>
        <v>740</v>
      </c>
      <c r="M81" s="30" t="str">
        <f>IF(A81="","",IF(NOT(ISNUMBER(A81)),"ДАТА; ","")&amp;IF(NOT(ISNUMBER(E81)),"СУММА; ","")&amp;IF(AND(B81&lt;&gt;"",D81&lt;&gt;"",IFERROR(VLOOKUP(D81,Категории!$A$3:$B$27,2,FALSE),"")&lt;&gt;B81),"ТИП/КАТЕГОРИЯ; ","")&amp;IF(AND(B81="Доход",G81=""),"НЕТ № КВИТАНЦИИ; ","")&amp;IF(AND(B81="Расход",H81="",IFERROR(VLOOKUP(D81,Категории!$A$3:$D$27,4,FALSE),"")=""),"УКАЖИТЕ ДОЛЮ; ","")&amp;IF(COUNTIFS($A$5:$A$504,A81,$B$5:$B$504,B81,$C$5:$C$504,C81,$E$5:$E$504,E81)&gt;1,"ВОЗМОЖНЫЙ ДУБЛЬ; ","")&amp;IF(AND(A81&lt;&gt;"",A82&lt;&gt;"",A81&lt;A82),"ПОРЯДОК ДАТ; ",""))</f>
        <v/>
      </c>
      <c r="N81" s="30">
        <f>IF(A81="","",IF(Настройки_2026!$B$6="ДЕМО",1,IF(I81="ДЕМО",0,1)))</f>
        <v>1</v>
      </c>
    </row>
    <row r="82" spans="1:14" x14ac:dyDescent="0.25">
      <c r="A82" s="26">
        <v>46067</v>
      </c>
      <c r="B82" s="27" t="s">
        <v>110</v>
      </c>
      <c r="C82" s="27" t="s">
        <v>410</v>
      </c>
      <c r="D82" s="27" t="s">
        <v>250</v>
      </c>
      <c r="E82" s="28">
        <v>2500</v>
      </c>
      <c r="F82" s="27" t="s">
        <v>146</v>
      </c>
      <c r="G82" s="27" t="s">
        <v>426</v>
      </c>
      <c r="H82" s="29"/>
      <c r="I82" s="27" t="s">
        <v>136</v>
      </c>
      <c r="J82" s="27" t="s">
        <v>347</v>
      </c>
      <c r="K82" s="30">
        <f t="shared" si="1"/>
        <v>2</v>
      </c>
      <c r="L82" s="31">
        <f>IF(B82&lt;&gt;"Расход",0,IF(H82&lt;&gt;"",E82*H82,IFERROR(IF(VLOOKUP(D82,Категории!$A$3:$F$27,4,FALSE)="",0,E82*VLOOKUP(D82,Категории!$A$3:$F$27,4,FALSE)),0)))</f>
        <v>0</v>
      </c>
      <c r="M82" s="30" t="str">
        <f>IF(A82="","",IF(NOT(ISNUMBER(A82)),"ДАТА; ","")&amp;IF(NOT(ISNUMBER(E82)),"СУММА; ","")&amp;IF(AND(B82&lt;&gt;"",D82&lt;&gt;"",IFERROR(VLOOKUP(D82,Категории!$A$3:$B$27,2,FALSE),"")&lt;&gt;B82),"ТИП/КАТЕГОРИЯ; ","")&amp;IF(AND(B82="Доход",G82=""),"НЕТ № КВИТАНЦИИ; ","")&amp;IF(AND(B82="Расход",H82="",IFERROR(VLOOKUP(D82,Категории!$A$3:$D$27,4,FALSE),"")=""),"УКАЖИТЕ ДОЛЮ; ","")&amp;IF(COUNTIFS($A$5:$A$504,A82,$B$5:$B$504,B82,$C$5:$C$504,C82,$E$5:$E$504,E82)&gt;1,"ВОЗМОЖНЫЙ ДУБЛЬ; ","")&amp;IF(AND(A82&lt;&gt;"",A83&lt;&gt;"",A82&lt;A83),"ПОРЯДОК ДАТ; ",""))</f>
        <v/>
      </c>
      <c r="N82" s="30">
        <f>IF(A82="","",IF(Настройки_2026!$B$6="ДЕМО",1,IF(I82="ДЕМО",0,1)))</f>
        <v>1</v>
      </c>
    </row>
    <row r="83" spans="1:14" x14ac:dyDescent="0.25">
      <c r="A83" s="26">
        <v>46065</v>
      </c>
      <c r="B83" s="27" t="s">
        <v>112</v>
      </c>
      <c r="C83" s="27" t="s">
        <v>374</v>
      </c>
      <c r="D83" s="27" t="s">
        <v>276</v>
      </c>
      <c r="E83" s="28">
        <v>550</v>
      </c>
      <c r="F83" s="27" t="s">
        <v>135</v>
      </c>
      <c r="G83" s="27" t="s">
        <v>427</v>
      </c>
      <c r="H83" s="29">
        <v>1</v>
      </c>
      <c r="I83" s="27" t="s">
        <v>136</v>
      </c>
      <c r="J83" s="27" t="s">
        <v>347</v>
      </c>
      <c r="K83" s="30">
        <f t="shared" si="1"/>
        <v>2</v>
      </c>
      <c r="L83" s="31">
        <f>IF(B83&lt;&gt;"Расход",0,IF(H83&lt;&gt;"",E83*H83,IFERROR(IF(VLOOKUP(D83,Категории!$A$3:$F$27,4,FALSE)="",0,E83*VLOOKUP(D83,Категории!$A$3:$F$27,4,FALSE)),0)))</f>
        <v>550</v>
      </c>
      <c r="M83" s="30" t="str">
        <f>IF(A83="","",IF(NOT(ISNUMBER(A83)),"ДАТА; ","")&amp;IF(NOT(ISNUMBER(E83)),"СУММА; ","")&amp;IF(AND(B83&lt;&gt;"",D83&lt;&gt;"",IFERROR(VLOOKUP(D83,Категории!$A$3:$B$27,2,FALSE),"")&lt;&gt;B83),"ТИП/КАТЕГОРИЯ; ","")&amp;IF(AND(B83="Доход",G83=""),"НЕТ № КВИТАНЦИИ; ","")&amp;IF(AND(B83="Расход",H83="",IFERROR(VLOOKUP(D83,Категории!$A$3:$D$27,4,FALSE),"")=""),"УКАЖИТЕ ДОЛЮ; ","")&amp;IF(COUNTIFS($A$5:$A$504,A83,$B$5:$B$504,B83,$C$5:$C$504,C83,$E$5:$E$504,E83)&gt;1,"ВОЗМОЖНЫЙ ДУБЛЬ; ","")&amp;IF(AND(A83&lt;&gt;"",A84&lt;&gt;"",A83&lt;A84),"ПОРЯДОК ДАТ; ",""))</f>
        <v/>
      </c>
      <c r="N83" s="30">
        <f>IF(A83="","",IF(Настройки_2026!$B$6="ДЕМО",1,IF(I83="ДЕМО",0,1)))</f>
        <v>1</v>
      </c>
    </row>
    <row r="84" spans="1:14" ht="25.5" x14ac:dyDescent="0.25">
      <c r="A84" s="26">
        <v>46063</v>
      </c>
      <c r="B84" s="27" t="s">
        <v>114</v>
      </c>
      <c r="C84" s="27" t="s">
        <v>356</v>
      </c>
      <c r="D84" s="27" t="s">
        <v>313</v>
      </c>
      <c r="E84" s="28">
        <v>650</v>
      </c>
      <c r="F84" s="27" t="s">
        <v>155</v>
      </c>
      <c r="G84" s="27"/>
      <c r="H84" s="29"/>
      <c r="I84" s="27" t="s">
        <v>136</v>
      </c>
      <c r="J84" s="27" t="s">
        <v>357</v>
      </c>
      <c r="K84" s="30">
        <f t="shared" si="1"/>
        <v>2</v>
      </c>
      <c r="L84" s="31">
        <f>IF(B84&lt;&gt;"Расход",0,IF(H84&lt;&gt;"",E84*H84,IFERROR(IF(VLOOKUP(D84,Категории!$A$3:$F$27,4,FALSE)="",0,E84*VLOOKUP(D84,Категории!$A$3:$F$27,4,FALSE)),0)))</f>
        <v>0</v>
      </c>
      <c r="M84" s="30" t="str">
        <f>IF(A84="","",IF(NOT(ISNUMBER(A84)),"ДАТА; ","")&amp;IF(NOT(ISNUMBER(E84)),"СУММА; ","")&amp;IF(AND(B84&lt;&gt;"",D84&lt;&gt;"",IFERROR(VLOOKUP(D84,Категории!$A$3:$B$27,2,FALSE),"")&lt;&gt;B84),"ТИП/КАТЕГОРИЯ; ","")&amp;IF(AND(B84="Доход",G84=""),"НЕТ № КВИТАНЦИИ; ","")&amp;IF(AND(B84="Расход",H84="",IFERROR(VLOOKUP(D84,Категории!$A$3:$D$27,4,FALSE),"")=""),"УКАЖИТЕ ДОЛЮ; ","")&amp;IF(COUNTIFS($A$5:$A$504,A84,$B$5:$B$504,B84,$C$5:$C$504,C84,$E$5:$E$504,E84)&gt;1,"ВОЗМОЖНЫЙ ДУБЛЬ; ","")&amp;IF(AND(A84&lt;&gt;"",A85&lt;&gt;"",A84&lt;A85),"ПОРЯДОК ДАТ; ",""))</f>
        <v/>
      </c>
      <c r="N84" s="30">
        <f>IF(A84="","",IF(Настройки_2026!$B$6="ДЕМО",1,IF(I84="ДЕМО",0,1)))</f>
        <v>1</v>
      </c>
    </row>
    <row r="85" spans="1:14" x14ac:dyDescent="0.25">
      <c r="A85" s="26">
        <v>46061</v>
      </c>
      <c r="B85" s="27" t="s">
        <v>112</v>
      </c>
      <c r="C85" s="27" t="s">
        <v>360</v>
      </c>
      <c r="D85" s="27" t="s">
        <v>267</v>
      </c>
      <c r="E85" s="28">
        <v>220</v>
      </c>
      <c r="F85" s="27" t="s">
        <v>137</v>
      </c>
      <c r="G85" s="27" t="s">
        <v>428</v>
      </c>
      <c r="H85" s="29">
        <v>1</v>
      </c>
      <c r="I85" s="27" t="s">
        <v>136</v>
      </c>
      <c r="J85" s="27" t="s">
        <v>347</v>
      </c>
      <c r="K85" s="30">
        <f t="shared" si="1"/>
        <v>2</v>
      </c>
      <c r="L85" s="31">
        <f>IF(B85&lt;&gt;"Расход",0,IF(H85&lt;&gt;"",E85*H85,IFERROR(IF(VLOOKUP(D85,Категории!$A$3:$F$27,4,FALSE)="",0,E85*VLOOKUP(D85,Категории!$A$3:$F$27,4,FALSE)),0)))</f>
        <v>220</v>
      </c>
      <c r="M85" s="30" t="str">
        <f>IF(A85="","",IF(NOT(ISNUMBER(A85)),"ДАТА; ","")&amp;IF(NOT(ISNUMBER(E85)),"СУММА; ","")&amp;IF(AND(B85&lt;&gt;"",D85&lt;&gt;"",IFERROR(VLOOKUP(D85,Категории!$A$3:$B$27,2,FALSE),"")&lt;&gt;B85),"ТИП/КАТЕГОРИЯ; ","")&amp;IF(AND(B85="Доход",G85=""),"НЕТ № КВИТАНЦИИ; ","")&amp;IF(AND(B85="Расход",H85="",IFERROR(VLOOKUP(D85,Категории!$A$3:$D$27,4,FALSE),"")=""),"УКАЖИТЕ ДОЛЮ; ","")&amp;IF(COUNTIFS($A$5:$A$504,A85,$B$5:$B$504,B85,$C$5:$C$504,C85,$E$5:$E$504,E85)&gt;1,"ВОЗМОЖНЫЙ ДУБЛЬ; ","")&amp;IF(AND(A85&lt;&gt;"",A86&lt;&gt;"",A85&lt;A86),"ПОРЯДОК ДАТ; ",""))</f>
        <v/>
      </c>
      <c r="N85" s="30">
        <f>IF(A85="","",IF(Настройки_2026!$B$6="ДЕМО",1,IF(I85="ДЕМО",0,1)))</f>
        <v>1</v>
      </c>
    </row>
    <row r="86" spans="1:14" x14ac:dyDescent="0.25">
      <c r="A86" s="26">
        <v>46059</v>
      </c>
      <c r="B86" s="27" t="s">
        <v>110</v>
      </c>
      <c r="C86" s="27" t="s">
        <v>377</v>
      </c>
      <c r="D86" s="27" t="s">
        <v>250</v>
      </c>
      <c r="E86" s="28">
        <v>3600</v>
      </c>
      <c r="F86" s="27" t="s">
        <v>135</v>
      </c>
      <c r="G86" s="27" t="s">
        <v>429</v>
      </c>
      <c r="H86" s="29"/>
      <c r="I86" s="27" t="s">
        <v>136</v>
      </c>
      <c r="J86" s="27" t="s">
        <v>347</v>
      </c>
      <c r="K86" s="30">
        <f t="shared" si="1"/>
        <v>2</v>
      </c>
      <c r="L86" s="31">
        <f>IF(B86&lt;&gt;"Расход",0,IF(H86&lt;&gt;"",E86*H86,IFERROR(IF(VLOOKUP(D86,Категории!$A$3:$F$27,4,FALSE)="",0,E86*VLOOKUP(D86,Категории!$A$3:$F$27,4,FALSE)),0)))</f>
        <v>0</v>
      </c>
      <c r="M86" s="30" t="str">
        <f>IF(A86="","",IF(NOT(ISNUMBER(A86)),"ДАТА; ","")&amp;IF(NOT(ISNUMBER(E86)),"СУММА; ","")&amp;IF(AND(B86&lt;&gt;"",D86&lt;&gt;"",IFERROR(VLOOKUP(D86,Категории!$A$3:$B$27,2,FALSE),"")&lt;&gt;B86),"ТИП/КАТЕГОРИЯ; ","")&amp;IF(AND(B86="Доход",G86=""),"НЕТ № КВИТАНЦИИ; ","")&amp;IF(AND(B86="Расход",H86="",IFERROR(VLOOKUP(D86,Категории!$A$3:$D$27,4,FALSE),"")=""),"УКАЖИТЕ ДОЛЮ; ","")&amp;IF(COUNTIFS($A$5:$A$504,A86,$B$5:$B$504,B86,$C$5:$C$504,C86,$E$5:$E$504,E86)&gt;1,"ВОЗМОЖНЫЙ ДУБЛЬ; ","")&amp;IF(AND(A86&lt;&gt;"",A87&lt;&gt;"",A86&lt;A87),"ПОРЯДОК ДАТ; ",""))</f>
        <v/>
      </c>
      <c r="N86" s="30">
        <f>IF(A86="","",IF(Настройки_2026!$B$6="ДЕМО",1,IF(I86="ДЕМО",0,1)))</f>
        <v>1</v>
      </c>
    </row>
    <row r="87" spans="1:14" x14ac:dyDescent="0.25">
      <c r="A87" s="26">
        <v>46049</v>
      </c>
      <c r="B87" s="27" t="s">
        <v>116</v>
      </c>
      <c r="C87" s="27" t="s">
        <v>343</v>
      </c>
      <c r="D87" s="27" t="s">
        <v>322</v>
      </c>
      <c r="E87" s="28">
        <v>1850</v>
      </c>
      <c r="F87" s="27" t="s">
        <v>155</v>
      </c>
      <c r="G87" s="27"/>
      <c r="H87" s="29"/>
      <c r="I87" s="27" t="s">
        <v>136</v>
      </c>
      <c r="J87" s="27" t="s">
        <v>344</v>
      </c>
      <c r="K87" s="30">
        <f t="shared" si="1"/>
        <v>1</v>
      </c>
      <c r="L87" s="31">
        <f>IF(B87&lt;&gt;"Расход",0,IF(H87&lt;&gt;"",E87*H87,IFERROR(IF(VLOOKUP(D87,Категории!$A$3:$F$27,4,FALSE)="",0,E87*VLOOKUP(D87,Категории!$A$3:$F$27,4,FALSE)),0)))</f>
        <v>0</v>
      </c>
      <c r="M87" s="30" t="str">
        <f>IF(A87="","",IF(NOT(ISNUMBER(A87)),"ДАТА; ","")&amp;IF(NOT(ISNUMBER(E87)),"СУММА; ","")&amp;IF(AND(B87&lt;&gt;"",D87&lt;&gt;"",IFERROR(VLOOKUP(D87,Категории!$A$3:$B$27,2,FALSE),"")&lt;&gt;B87),"ТИП/КАТЕГОРИЯ; ","")&amp;IF(AND(B87="Доход",G87=""),"НЕТ № КВИТАНЦИИ; ","")&amp;IF(AND(B87="Расход",H87="",IFERROR(VLOOKUP(D87,Категории!$A$3:$D$27,4,FALSE),"")=""),"УКАЖИТЕ ДОЛЮ; ","")&amp;IF(COUNTIFS($A$5:$A$504,A87,$B$5:$B$504,B87,$C$5:$C$504,C87,$E$5:$E$504,E87)&gt;1,"ВОЗМОЖНЫЙ ДУБЛЬ; ","")&amp;IF(AND(A87&lt;&gt;"",A88&lt;&gt;"",A87&lt;A88),"ПОРЯДОК ДАТ; ",""))</f>
        <v/>
      </c>
      <c r="N87" s="30">
        <f>IF(A87="","",IF(Настройки_2026!$B$6="ДЕМО",1,IF(I87="ДЕМО",0,1)))</f>
        <v>1</v>
      </c>
    </row>
    <row r="88" spans="1:14" x14ac:dyDescent="0.25">
      <c r="A88" s="26">
        <v>46046</v>
      </c>
      <c r="B88" s="27" t="s">
        <v>112</v>
      </c>
      <c r="C88" s="27" t="s">
        <v>388</v>
      </c>
      <c r="D88" s="27" t="s">
        <v>288</v>
      </c>
      <c r="E88" s="28">
        <v>190</v>
      </c>
      <c r="F88" s="27" t="s">
        <v>137</v>
      </c>
      <c r="G88" s="27" t="s">
        <v>430</v>
      </c>
      <c r="H88" s="29"/>
      <c r="I88" s="27" t="s">
        <v>136</v>
      </c>
      <c r="J88" s="27" t="s">
        <v>347</v>
      </c>
      <c r="K88" s="30">
        <f t="shared" si="1"/>
        <v>1</v>
      </c>
      <c r="L88" s="31">
        <f>IF(B88&lt;&gt;"Расход",0,IF(H88&lt;&gt;"",E88*H88,IFERROR(IF(VLOOKUP(D88,Категории!$A$3:$F$27,4,FALSE)="",0,E88*VLOOKUP(D88,Категории!$A$3:$F$27,4,FALSE)),0)))</f>
        <v>0</v>
      </c>
      <c r="M88" s="30" t="str">
        <f>IF(A88="","",IF(NOT(ISNUMBER(A88)),"ДАТА; ","")&amp;IF(NOT(ISNUMBER(E88)),"СУММА; ","")&amp;IF(AND(B88&lt;&gt;"",D88&lt;&gt;"",IFERROR(VLOOKUP(D88,Категории!$A$3:$B$27,2,FALSE),"")&lt;&gt;B88),"ТИП/КАТЕГОРИЯ; ","")&amp;IF(AND(B88="Доход",G88=""),"НЕТ № КВИТАНЦИИ; ","")&amp;IF(AND(B88="Расход",H88="",IFERROR(VLOOKUP(D88,Категории!$A$3:$D$27,4,FALSE),"")=""),"УКАЖИТЕ ДОЛЮ; ","")&amp;IF(COUNTIFS($A$5:$A$504,A88,$B$5:$B$504,B88,$C$5:$C$504,C88,$E$5:$E$504,E88)&gt;1,"ВОЗМОЖНЫЙ ДУБЛЬ; ","")&amp;IF(AND(A88&lt;&gt;"",A89&lt;&gt;"",A88&lt;A89),"ПОРЯДОК ДАТ; ",""))</f>
        <v xml:space="preserve">УКАЖИТЕ ДОЛЮ; </v>
      </c>
      <c r="N88" s="30">
        <f>IF(A88="","",IF(Настройки_2026!$B$6="ДЕМО",1,IF(I88="ДЕМО",0,1)))</f>
        <v>1</v>
      </c>
    </row>
    <row r="89" spans="1:14" x14ac:dyDescent="0.25">
      <c r="A89" s="26">
        <v>46043</v>
      </c>
      <c r="B89" s="27" t="s">
        <v>110</v>
      </c>
      <c r="C89" s="27" t="s">
        <v>348</v>
      </c>
      <c r="D89" s="27" t="s">
        <v>254</v>
      </c>
      <c r="E89" s="28">
        <v>3000</v>
      </c>
      <c r="F89" s="27" t="s">
        <v>135</v>
      </c>
      <c r="G89" s="27" t="s">
        <v>431</v>
      </c>
      <c r="H89" s="29"/>
      <c r="I89" s="27" t="s">
        <v>136</v>
      </c>
      <c r="J89" s="27" t="s">
        <v>347</v>
      </c>
      <c r="K89" s="30">
        <f t="shared" si="1"/>
        <v>1</v>
      </c>
      <c r="L89" s="31">
        <f>IF(B89&lt;&gt;"Расход",0,IF(H89&lt;&gt;"",E89*H89,IFERROR(IF(VLOOKUP(D89,Категории!$A$3:$F$27,4,FALSE)="",0,E89*VLOOKUP(D89,Категории!$A$3:$F$27,4,FALSE)),0)))</f>
        <v>0</v>
      </c>
      <c r="M89" s="30" t="str">
        <f>IF(A89="","",IF(NOT(ISNUMBER(A89)),"ДАТА; ","")&amp;IF(NOT(ISNUMBER(E89)),"СУММА; ","")&amp;IF(AND(B89&lt;&gt;"",D89&lt;&gt;"",IFERROR(VLOOKUP(D89,Категории!$A$3:$B$27,2,FALSE),"")&lt;&gt;B89),"ТИП/КАТЕГОРИЯ; ","")&amp;IF(AND(B89="Доход",G89=""),"НЕТ № КВИТАНЦИИ; ","")&amp;IF(AND(B89="Расход",H89="",IFERROR(VLOOKUP(D89,Категории!$A$3:$D$27,4,FALSE),"")=""),"УКАЖИТЕ ДОЛЮ; ","")&amp;IF(COUNTIFS($A$5:$A$504,A89,$B$5:$B$504,B89,$C$5:$C$504,C89,$E$5:$E$504,E89)&gt;1,"ВОЗМОЖНЫЙ ДУБЛЬ; ","")&amp;IF(AND(A89&lt;&gt;"",A90&lt;&gt;"",A89&lt;A90),"ПОРЯДОК ДАТ; ",""))</f>
        <v/>
      </c>
      <c r="N89" s="30">
        <f>IF(A89="","",IF(Настройки_2026!$B$6="ДЕМО",1,IF(I89="ДЕМО",0,1)))</f>
        <v>1</v>
      </c>
    </row>
    <row r="90" spans="1:14" x14ac:dyDescent="0.25">
      <c r="A90" s="26">
        <v>46040</v>
      </c>
      <c r="B90" s="27" t="s">
        <v>114</v>
      </c>
      <c r="C90" s="27" t="s">
        <v>350</v>
      </c>
      <c r="D90" s="27" t="s">
        <v>316</v>
      </c>
      <c r="E90" s="28">
        <v>500</v>
      </c>
      <c r="F90" s="27" t="s">
        <v>155</v>
      </c>
      <c r="G90" s="27"/>
      <c r="H90" s="29"/>
      <c r="I90" s="27" t="s">
        <v>136</v>
      </c>
      <c r="J90" s="27" t="s">
        <v>351</v>
      </c>
      <c r="K90" s="30">
        <f t="shared" si="1"/>
        <v>1</v>
      </c>
      <c r="L90" s="31">
        <f>IF(B90&lt;&gt;"Расход",0,IF(H90&lt;&gt;"",E90*H90,IFERROR(IF(VLOOKUP(D90,Категории!$A$3:$F$27,4,FALSE)="",0,E90*VLOOKUP(D90,Категории!$A$3:$F$27,4,FALSE)),0)))</f>
        <v>0</v>
      </c>
      <c r="M90" s="30" t="str">
        <f>IF(A90="","",IF(NOT(ISNUMBER(A90)),"ДАТА; ","")&amp;IF(NOT(ISNUMBER(E90)),"СУММА; ","")&amp;IF(AND(B90&lt;&gt;"",D90&lt;&gt;"",IFERROR(VLOOKUP(D90,Категории!$A$3:$B$27,2,FALSE),"")&lt;&gt;B90),"ТИП/КАТЕГОРИЯ; ","")&amp;IF(AND(B90="Доход",G90=""),"НЕТ № КВИТАНЦИИ; ","")&amp;IF(AND(B90="Расход",H90="",IFERROR(VLOOKUP(D90,Категории!$A$3:$D$27,4,FALSE),"")=""),"УКАЖИТЕ ДОЛЮ; ","")&amp;IF(COUNTIFS($A$5:$A$504,A90,$B$5:$B$504,B90,$C$5:$C$504,C90,$E$5:$E$504,E90)&gt;1,"ВОЗМОЖНЫЙ ДУБЛЬ; ","")&amp;IF(AND(A90&lt;&gt;"",A91&lt;&gt;"",A90&lt;A91),"ПОРЯДОК ДАТ; ",""))</f>
        <v/>
      </c>
      <c r="N90" s="30">
        <f>IF(A90="","",IF(Настройки_2026!$B$6="ДЕМО",1,IF(I90="ДЕМО",0,1)))</f>
        <v>1</v>
      </c>
    </row>
    <row r="91" spans="1:14" x14ac:dyDescent="0.25">
      <c r="A91" s="26">
        <v>46039</v>
      </c>
      <c r="B91" s="27" t="s">
        <v>112</v>
      </c>
      <c r="C91" s="27" t="s">
        <v>352</v>
      </c>
      <c r="D91" s="27" t="s">
        <v>263</v>
      </c>
      <c r="E91" s="28">
        <v>610</v>
      </c>
      <c r="F91" s="27" t="s">
        <v>140</v>
      </c>
      <c r="G91" s="27" t="s">
        <v>432</v>
      </c>
      <c r="H91" s="29">
        <v>1</v>
      </c>
      <c r="I91" s="27" t="s">
        <v>136</v>
      </c>
      <c r="J91" s="27" t="s">
        <v>347</v>
      </c>
      <c r="K91" s="30">
        <f t="shared" si="1"/>
        <v>1</v>
      </c>
      <c r="L91" s="31">
        <f>IF(B91&lt;&gt;"Расход",0,IF(H91&lt;&gt;"",E91*H91,IFERROR(IF(VLOOKUP(D91,Категории!$A$3:$F$27,4,FALSE)="",0,E91*VLOOKUP(D91,Категории!$A$3:$F$27,4,FALSE)),0)))</f>
        <v>610</v>
      </c>
      <c r="M91" s="30" t="str">
        <f>IF(A91="","",IF(NOT(ISNUMBER(A91)),"ДАТА; ","")&amp;IF(NOT(ISNUMBER(E91)),"СУММА; ","")&amp;IF(AND(B91&lt;&gt;"",D91&lt;&gt;"",IFERROR(VLOOKUP(D91,Категории!$A$3:$B$27,2,FALSE),"")&lt;&gt;B91),"ТИП/КАТЕГОРИЯ; ","")&amp;IF(AND(B91="Доход",G91=""),"НЕТ № КВИТАНЦИИ; ","")&amp;IF(AND(B91="Расход",H91="",IFERROR(VLOOKUP(D91,Категории!$A$3:$D$27,4,FALSE),"")=""),"УКАЖИТЕ ДОЛЮ; ","")&amp;IF(COUNTIFS($A$5:$A$504,A91,$B$5:$B$504,B91,$C$5:$C$504,C91,$E$5:$E$504,E91)&gt;1,"ВОЗМОЖНЫЙ ДУБЛЬ; ","")&amp;IF(AND(A91&lt;&gt;"",A92&lt;&gt;"",A91&lt;A92),"ПОРЯДОК ДАТ; ",""))</f>
        <v/>
      </c>
      <c r="N91" s="30">
        <f>IF(A91="","",IF(Настройки_2026!$B$6="ДЕМО",1,IF(I91="ДЕМО",0,1)))</f>
        <v>1</v>
      </c>
    </row>
    <row r="92" spans="1:14" x14ac:dyDescent="0.25">
      <c r="A92" s="26">
        <v>46036</v>
      </c>
      <c r="B92" s="27" t="s">
        <v>110</v>
      </c>
      <c r="C92" s="27" t="s">
        <v>354</v>
      </c>
      <c r="D92" s="27" t="s">
        <v>250</v>
      </c>
      <c r="E92" s="28">
        <v>2000</v>
      </c>
      <c r="F92" s="27" t="s">
        <v>146</v>
      </c>
      <c r="G92" s="27" t="s">
        <v>433</v>
      </c>
      <c r="H92" s="29"/>
      <c r="I92" s="27" t="s">
        <v>136</v>
      </c>
      <c r="J92" s="27" t="s">
        <v>347</v>
      </c>
      <c r="K92" s="30">
        <f t="shared" si="1"/>
        <v>1</v>
      </c>
      <c r="L92" s="31">
        <f>IF(B92&lt;&gt;"Расход",0,IF(H92&lt;&gt;"",E92*H92,IFERROR(IF(VLOOKUP(D92,Категории!$A$3:$F$27,4,FALSE)="",0,E92*VLOOKUP(D92,Категории!$A$3:$F$27,4,FALSE)),0)))</f>
        <v>0</v>
      </c>
      <c r="M92" s="30" t="str">
        <f>IF(A92="","",IF(NOT(ISNUMBER(A92)),"ДАТА; ","")&amp;IF(NOT(ISNUMBER(E92)),"СУММА; ","")&amp;IF(AND(B92&lt;&gt;"",D92&lt;&gt;"",IFERROR(VLOOKUP(D92,Категории!$A$3:$B$27,2,FALSE),"")&lt;&gt;B92),"ТИП/КАТЕГОРИЯ; ","")&amp;IF(AND(B92="Доход",G92=""),"НЕТ № КВИТАНЦИИ; ","")&amp;IF(AND(B92="Расход",H92="",IFERROR(VLOOKUP(D92,Категории!$A$3:$D$27,4,FALSE),"")=""),"УКАЖИТЕ ДОЛЮ; ","")&amp;IF(COUNTIFS($A$5:$A$504,A92,$B$5:$B$504,B92,$C$5:$C$504,C92,$E$5:$E$504,E92)&gt;1,"ВОЗМОЖНЫЙ ДУБЛЬ; ","")&amp;IF(AND(A92&lt;&gt;"",A93&lt;&gt;"",A92&lt;A93),"ПОРЯДОК ДАТ; ",""))</f>
        <v/>
      </c>
      <c r="N92" s="30">
        <f>IF(A92="","",IF(Настройки_2026!$B$6="ДЕМО",1,IF(I92="ДЕМО",0,1)))</f>
        <v>1</v>
      </c>
    </row>
    <row r="93" spans="1:14" x14ac:dyDescent="0.25">
      <c r="A93" s="26">
        <v>46034</v>
      </c>
      <c r="B93" s="27" t="s">
        <v>112</v>
      </c>
      <c r="C93" s="27" t="s">
        <v>358</v>
      </c>
      <c r="D93" s="27" t="s">
        <v>270</v>
      </c>
      <c r="E93" s="28">
        <v>420</v>
      </c>
      <c r="F93" s="27" t="s">
        <v>137</v>
      </c>
      <c r="G93" s="27" t="s">
        <v>434</v>
      </c>
      <c r="H93" s="29">
        <v>1</v>
      </c>
      <c r="I93" s="27" t="s">
        <v>136</v>
      </c>
      <c r="J93" s="27" t="s">
        <v>347</v>
      </c>
      <c r="K93" s="30">
        <f t="shared" si="1"/>
        <v>1</v>
      </c>
      <c r="L93" s="31">
        <f>IF(B93&lt;&gt;"Расход",0,IF(H93&lt;&gt;"",E93*H93,IFERROR(IF(VLOOKUP(D93,Категории!$A$3:$F$27,4,FALSE)="",0,E93*VLOOKUP(D93,Категории!$A$3:$F$27,4,FALSE)),0)))</f>
        <v>420</v>
      </c>
      <c r="M93" s="30" t="str">
        <f>IF(A93="","",IF(NOT(ISNUMBER(A93)),"ДАТА; ","")&amp;IF(NOT(ISNUMBER(E93)),"СУММА; ","")&amp;IF(AND(B93&lt;&gt;"",D93&lt;&gt;"",IFERROR(VLOOKUP(D93,Категории!$A$3:$B$27,2,FALSE),"")&lt;&gt;B93),"ТИП/КАТЕГОРИЯ; ","")&amp;IF(AND(B93="Доход",G93=""),"НЕТ № КВИТАНЦИИ; ","")&amp;IF(AND(B93="Расход",H93="",IFERROR(VLOOKUP(D93,Категории!$A$3:$D$27,4,FALSE),"")=""),"УКАЖИТЕ ДОЛЮ; ","")&amp;IF(COUNTIFS($A$5:$A$504,A93,$B$5:$B$504,B93,$C$5:$C$504,C93,$E$5:$E$504,E93)&gt;1,"ВОЗМОЖНЫЙ ДУБЛЬ; ","")&amp;IF(AND(A93&lt;&gt;"",A94&lt;&gt;"",A93&lt;A94),"ПОРЯДОК ДАТ; ",""))</f>
        <v/>
      </c>
      <c r="N93" s="30">
        <f>IF(A93="","",IF(Настройки_2026!$B$6="ДЕМО",1,IF(I93="ДЕМО",0,1)))</f>
        <v>1</v>
      </c>
    </row>
    <row r="94" spans="1:14" ht="25.5" x14ac:dyDescent="0.25">
      <c r="A94" s="26">
        <v>46032</v>
      </c>
      <c r="B94" s="27" t="s">
        <v>114</v>
      </c>
      <c r="C94" s="27" t="s">
        <v>356</v>
      </c>
      <c r="D94" s="27" t="s">
        <v>313</v>
      </c>
      <c r="E94" s="28">
        <v>650</v>
      </c>
      <c r="F94" s="27" t="s">
        <v>155</v>
      </c>
      <c r="G94" s="27"/>
      <c r="H94" s="29"/>
      <c r="I94" s="27" t="s">
        <v>136</v>
      </c>
      <c r="J94" s="27" t="s">
        <v>357</v>
      </c>
      <c r="K94" s="30">
        <f t="shared" si="1"/>
        <v>1</v>
      </c>
      <c r="L94" s="31">
        <f>IF(B94&lt;&gt;"Расход",0,IF(H94&lt;&gt;"",E94*H94,IFERROR(IF(VLOOKUP(D94,Категории!$A$3:$F$27,4,FALSE)="",0,E94*VLOOKUP(D94,Категории!$A$3:$F$27,4,FALSE)),0)))</f>
        <v>0</v>
      </c>
      <c r="M94" s="30" t="str">
        <f>IF(A94="","",IF(NOT(ISNUMBER(A94)),"ДАТА; ","")&amp;IF(NOT(ISNUMBER(E94)),"СУММА; ","")&amp;IF(AND(B94&lt;&gt;"",D94&lt;&gt;"",IFERROR(VLOOKUP(D94,Категории!$A$3:$B$27,2,FALSE),"")&lt;&gt;B94),"ТИП/КАТЕГОРИЯ; ","")&amp;IF(AND(B94="Доход",G94=""),"НЕТ № КВИТАНЦИИ; ","")&amp;IF(AND(B94="Расход",H94="",IFERROR(VLOOKUP(D94,Категории!$A$3:$D$27,4,FALSE),"")=""),"УКАЖИТЕ ДОЛЮ; ","")&amp;IF(COUNTIFS($A$5:$A$504,A94,$B$5:$B$504,B94,$C$5:$C$504,C94,$E$5:$E$504,E94)&gt;1,"ВОЗМОЖНЫЙ ДУБЛЬ; ","")&amp;IF(AND(A94&lt;&gt;"",A95&lt;&gt;"",A94&lt;A95),"ПОРЯДОК ДАТ; ",""))</f>
        <v/>
      </c>
      <c r="N94" s="30">
        <f>IF(A94="","",IF(Настройки_2026!$B$6="ДЕМО",1,IF(I94="ДЕМО",0,1)))</f>
        <v>1</v>
      </c>
    </row>
    <row r="95" spans="1:14" x14ac:dyDescent="0.25">
      <c r="A95" s="26">
        <v>46030</v>
      </c>
      <c r="B95" s="27" t="s">
        <v>112</v>
      </c>
      <c r="C95" s="27" t="s">
        <v>360</v>
      </c>
      <c r="D95" s="27" t="s">
        <v>267</v>
      </c>
      <c r="E95" s="28">
        <v>220</v>
      </c>
      <c r="F95" s="27" t="s">
        <v>137</v>
      </c>
      <c r="G95" s="27" t="s">
        <v>435</v>
      </c>
      <c r="H95" s="29">
        <v>1</v>
      </c>
      <c r="I95" s="27" t="s">
        <v>136</v>
      </c>
      <c r="J95" s="27" t="s">
        <v>347</v>
      </c>
      <c r="K95" s="30">
        <f t="shared" si="1"/>
        <v>1</v>
      </c>
      <c r="L95" s="31">
        <f>IF(B95&lt;&gt;"Расход",0,IF(H95&lt;&gt;"",E95*H95,IFERROR(IF(VLOOKUP(D95,Категории!$A$3:$F$27,4,FALSE)="",0,E95*VLOOKUP(D95,Категории!$A$3:$F$27,4,FALSE)),0)))</f>
        <v>220</v>
      </c>
      <c r="M95" s="30" t="str">
        <f>IF(A95="","",IF(NOT(ISNUMBER(A95)),"ДАТА; ","")&amp;IF(NOT(ISNUMBER(E95)),"СУММА; ","")&amp;IF(AND(B95&lt;&gt;"",D95&lt;&gt;"",IFERROR(VLOOKUP(D95,Категории!$A$3:$B$27,2,FALSE),"")&lt;&gt;B95),"ТИП/КАТЕГОРИЯ; ","")&amp;IF(AND(B95="Доход",G95=""),"НЕТ № КВИТАНЦИИ; ","")&amp;IF(AND(B95="Расход",H95="",IFERROR(VLOOKUP(D95,Категории!$A$3:$D$27,4,FALSE),"")=""),"УКАЖИТЕ ДОЛЮ; ","")&amp;IF(COUNTIFS($A$5:$A$504,A95,$B$5:$B$504,B95,$C$5:$C$504,C95,$E$5:$E$504,E95)&gt;1,"ВОЗМОЖНЫЙ ДУБЛЬ; ","")&amp;IF(AND(A95&lt;&gt;"",A96&lt;&gt;"",A95&lt;A96),"ПОРЯДОК ДАТ; ",""))</f>
        <v/>
      </c>
      <c r="N95" s="30">
        <f>IF(A95="","",IF(Настройки_2026!$B$6="ДЕМО",1,IF(I95="ДЕМО",0,1)))</f>
        <v>1</v>
      </c>
    </row>
    <row r="96" spans="1:14" x14ac:dyDescent="0.25">
      <c r="A96" s="26">
        <v>46028</v>
      </c>
      <c r="B96" s="27" t="s">
        <v>110</v>
      </c>
      <c r="C96" s="27" t="s">
        <v>377</v>
      </c>
      <c r="D96" s="27" t="s">
        <v>250</v>
      </c>
      <c r="E96" s="28">
        <v>3400</v>
      </c>
      <c r="F96" s="27" t="s">
        <v>135</v>
      </c>
      <c r="G96" s="27" t="s">
        <v>436</v>
      </c>
      <c r="H96" s="29"/>
      <c r="I96" s="27" t="s">
        <v>136</v>
      </c>
      <c r="J96" s="27" t="s">
        <v>347</v>
      </c>
      <c r="K96" s="30">
        <f t="shared" si="1"/>
        <v>1</v>
      </c>
      <c r="L96" s="31">
        <f>IF(B96&lt;&gt;"Расход",0,IF(H96&lt;&gt;"",E96*H96,IFERROR(IF(VLOOKUP(D96,Категории!$A$3:$F$27,4,FALSE)="",0,E96*VLOOKUP(D96,Категории!$A$3:$F$27,4,FALSE)),0)))</f>
        <v>0</v>
      </c>
      <c r="M96" s="30" t="str">
        <f>IF(A96="","",IF(NOT(ISNUMBER(A96)),"ДАТА; ","")&amp;IF(NOT(ISNUMBER(E96)),"СУММА; ","")&amp;IF(AND(B96&lt;&gt;"",D96&lt;&gt;"",IFERROR(VLOOKUP(D96,Категории!$A$3:$B$27,2,FALSE),"")&lt;&gt;B96),"ТИП/КАТЕГОРИЯ; ","")&amp;IF(AND(B96="Доход",G96=""),"НЕТ № КВИТАНЦИИ; ","")&amp;IF(AND(B96="Расход",H96="",IFERROR(VLOOKUP(D96,Категории!$A$3:$D$27,4,FALSE),"")=""),"УКАЖИТЕ ДОЛЮ; ","")&amp;IF(COUNTIFS($A$5:$A$504,A96,$B$5:$B$504,B96,$C$5:$C$504,C96,$E$5:$E$504,E96)&gt;1,"ВОЗМОЖНЫЙ ДУБЛЬ; ","")&amp;IF(AND(A96&lt;&gt;"",A97&lt;&gt;"",A96&lt;A97),"ПОРЯДОК ДАТ; ",""))</f>
        <v/>
      </c>
      <c r="N96" s="30">
        <f>IF(A96="","",IF(Настройки_2026!$B$6="ДЕМО",1,IF(I96="ДЕМО",0,1)))</f>
        <v>1</v>
      </c>
    </row>
    <row r="97" spans="1:14" x14ac:dyDescent="0.25">
      <c r="A97" s="26"/>
      <c r="B97" s="27"/>
      <c r="C97" s="27"/>
      <c r="D97" s="27"/>
      <c r="E97" s="28"/>
      <c r="F97" s="27"/>
      <c r="G97" s="27"/>
      <c r="H97" s="29"/>
      <c r="I97" s="27"/>
      <c r="J97" s="27"/>
      <c r="K97" s="30" t="str">
        <f t="shared" si="1"/>
        <v/>
      </c>
      <c r="L97" s="31">
        <f>IF(B97&lt;&gt;"Расход",0,IF(H97&lt;&gt;"",E97*H97,IFERROR(IF(VLOOKUP(D97,Категории!$A$3:$F$27,4,FALSE)="",0,E97*VLOOKUP(D97,Категории!$A$3:$F$27,4,FALSE)),0)))</f>
        <v>0</v>
      </c>
      <c r="M97" s="30" t="str">
        <f>IF(A97="","",IF(NOT(ISNUMBER(A97)),"ДАТА; ","")&amp;IF(NOT(ISNUMBER(E97)),"СУММА; ","")&amp;IF(AND(B97&lt;&gt;"",D97&lt;&gt;"",IFERROR(VLOOKUP(D97,Категории!$A$3:$B$27,2,FALSE),"")&lt;&gt;B97),"ТИП/КАТЕГОРИЯ; ","")&amp;IF(AND(B97="Доход",G97=""),"НЕТ № КВИТАНЦИИ; ","")&amp;IF(AND(B97="Расход",H97="",IFERROR(VLOOKUP(D97,Категории!$A$3:$D$27,4,FALSE),"")=""),"УКАЖИТЕ ДОЛЮ; ","")&amp;IF(COUNTIFS($A$5:$A$504,A97,$B$5:$B$504,B97,$C$5:$C$504,C97,$E$5:$E$504,E97)&gt;1,"ВОЗМОЖНЫЙ ДУБЛЬ; ","")&amp;IF(AND(A97&lt;&gt;"",A98&lt;&gt;"",A97&lt;A98),"ПОРЯДОК ДАТ; ",""))</f>
        <v/>
      </c>
      <c r="N97" s="30" t="str">
        <f>IF(A97="","",IF(Настройки_2026!$B$6="ДЕМО",1,IF(I97="ДЕМО",0,1)))</f>
        <v/>
      </c>
    </row>
    <row r="98" spans="1:14" x14ac:dyDescent="0.25">
      <c r="A98" s="26"/>
      <c r="B98" s="27"/>
      <c r="C98" s="27"/>
      <c r="D98" s="27"/>
      <c r="E98" s="28"/>
      <c r="F98" s="27"/>
      <c r="G98" s="27"/>
      <c r="H98" s="29"/>
      <c r="I98" s="27"/>
      <c r="J98" s="27"/>
      <c r="K98" s="30" t="str">
        <f t="shared" si="1"/>
        <v/>
      </c>
      <c r="L98" s="31">
        <f>IF(B98&lt;&gt;"Расход",0,IF(H98&lt;&gt;"",E98*H98,IFERROR(IF(VLOOKUP(D98,Категории!$A$3:$F$27,4,FALSE)="",0,E98*VLOOKUP(D98,Категории!$A$3:$F$27,4,FALSE)),0)))</f>
        <v>0</v>
      </c>
      <c r="M98" s="30" t="str">
        <f>IF(A98="","",IF(NOT(ISNUMBER(A98)),"ДАТА; ","")&amp;IF(NOT(ISNUMBER(E98)),"СУММА; ","")&amp;IF(AND(B98&lt;&gt;"",D98&lt;&gt;"",IFERROR(VLOOKUP(D98,Категории!$A$3:$B$27,2,FALSE),"")&lt;&gt;B98),"ТИП/КАТЕГОРИЯ; ","")&amp;IF(AND(B98="Доход",G98=""),"НЕТ № КВИТАНЦИИ; ","")&amp;IF(AND(B98="Расход",H98="",IFERROR(VLOOKUP(D98,Категории!$A$3:$D$27,4,FALSE),"")=""),"УКАЖИТЕ ДОЛЮ; ","")&amp;IF(COUNTIFS($A$5:$A$504,A98,$B$5:$B$504,B98,$C$5:$C$504,C98,$E$5:$E$504,E98)&gt;1,"ВОЗМОЖНЫЙ ДУБЛЬ; ","")&amp;IF(AND(A98&lt;&gt;"",A99&lt;&gt;"",A98&lt;A99),"ПОРЯДОК ДАТ; ",""))</f>
        <v/>
      </c>
      <c r="N98" s="30" t="str">
        <f>IF(A98="","",IF(Настройки_2026!$B$6="ДЕМО",1,IF(I98="ДЕМО",0,1)))</f>
        <v/>
      </c>
    </row>
    <row r="99" spans="1:14" x14ac:dyDescent="0.25">
      <c r="A99" s="26"/>
      <c r="B99" s="27"/>
      <c r="C99" s="27"/>
      <c r="D99" s="27"/>
      <c r="E99" s="28"/>
      <c r="F99" s="27"/>
      <c r="G99" s="27"/>
      <c r="H99" s="29"/>
      <c r="I99" s="27"/>
      <c r="J99" s="27"/>
      <c r="K99" s="30" t="str">
        <f t="shared" si="1"/>
        <v/>
      </c>
      <c r="L99" s="31">
        <f>IF(B99&lt;&gt;"Расход",0,IF(H99&lt;&gt;"",E99*H99,IFERROR(IF(VLOOKUP(D99,Категории!$A$3:$F$27,4,FALSE)="",0,E99*VLOOKUP(D99,Категории!$A$3:$F$27,4,FALSE)),0)))</f>
        <v>0</v>
      </c>
      <c r="M99" s="30" t="str">
        <f>IF(A99="","",IF(NOT(ISNUMBER(A99)),"ДАТА; ","")&amp;IF(NOT(ISNUMBER(E99)),"СУММА; ","")&amp;IF(AND(B99&lt;&gt;"",D99&lt;&gt;"",IFERROR(VLOOKUP(D99,Категории!$A$3:$B$27,2,FALSE),"")&lt;&gt;B99),"ТИП/КАТЕГОРИЯ; ","")&amp;IF(AND(B99="Доход",G99=""),"НЕТ № КВИТАНЦИИ; ","")&amp;IF(AND(B99="Расход",H99="",IFERROR(VLOOKUP(D99,Категории!$A$3:$D$27,4,FALSE),"")=""),"УКАЖИТЕ ДОЛЮ; ","")&amp;IF(COUNTIFS($A$5:$A$504,A99,$B$5:$B$504,B99,$C$5:$C$504,C99,$E$5:$E$504,E99)&gt;1,"ВОЗМОЖНЫЙ ДУБЛЬ; ","")&amp;IF(AND(A99&lt;&gt;"",A100&lt;&gt;"",A99&lt;A100),"ПОРЯДОК ДАТ; ",""))</f>
        <v/>
      </c>
      <c r="N99" s="30" t="str">
        <f>IF(A99="","",IF(Настройки_2026!$B$6="ДЕМО",1,IF(I99="ДЕМО",0,1)))</f>
        <v/>
      </c>
    </row>
    <row r="100" spans="1:14" x14ac:dyDescent="0.25">
      <c r="A100" s="26"/>
      <c r="B100" s="27"/>
      <c r="C100" s="27"/>
      <c r="D100" s="27"/>
      <c r="E100" s="28"/>
      <c r="F100" s="27"/>
      <c r="G100" s="27"/>
      <c r="H100" s="29"/>
      <c r="I100" s="27"/>
      <c r="J100" s="27"/>
      <c r="K100" s="30" t="str">
        <f t="shared" si="1"/>
        <v/>
      </c>
      <c r="L100" s="31">
        <f>IF(B100&lt;&gt;"Расход",0,IF(H100&lt;&gt;"",E100*H100,IFERROR(IF(VLOOKUP(D100,Категории!$A$3:$F$27,4,FALSE)="",0,E100*VLOOKUP(D100,Категории!$A$3:$F$27,4,FALSE)),0)))</f>
        <v>0</v>
      </c>
      <c r="M100" s="30" t="str">
        <f>IF(A100="","",IF(NOT(ISNUMBER(A100)),"ДАТА; ","")&amp;IF(NOT(ISNUMBER(E100)),"СУММА; ","")&amp;IF(AND(B100&lt;&gt;"",D100&lt;&gt;"",IFERROR(VLOOKUP(D100,Категории!$A$3:$B$27,2,FALSE),"")&lt;&gt;B100),"ТИП/КАТЕГОРИЯ; ","")&amp;IF(AND(B100="Доход",G100=""),"НЕТ № КВИТАНЦИИ; ","")&amp;IF(AND(B100="Расход",H100="",IFERROR(VLOOKUP(D100,Категории!$A$3:$D$27,4,FALSE),"")=""),"УКАЖИТЕ ДОЛЮ; ","")&amp;IF(COUNTIFS($A$5:$A$504,A100,$B$5:$B$504,B100,$C$5:$C$504,C100,$E$5:$E$504,E100)&gt;1,"ВОЗМОЖНЫЙ ДУБЛЬ; ","")&amp;IF(AND(A100&lt;&gt;"",A101&lt;&gt;"",A100&lt;A101),"ПОРЯДОК ДАТ; ",""))</f>
        <v/>
      </c>
      <c r="N100" s="30" t="str">
        <f>IF(A100="","",IF(Настройки_2026!$B$6="ДЕМО",1,IF(I100="ДЕМО",0,1)))</f>
        <v/>
      </c>
    </row>
    <row r="101" spans="1:14" x14ac:dyDescent="0.25">
      <c r="A101" s="26"/>
      <c r="B101" s="27"/>
      <c r="C101" s="27"/>
      <c r="D101" s="27"/>
      <c r="E101" s="28"/>
      <c r="F101" s="27"/>
      <c r="G101" s="27"/>
      <c r="H101" s="29"/>
      <c r="I101" s="27"/>
      <c r="J101" s="27"/>
      <c r="K101" s="30" t="str">
        <f t="shared" si="1"/>
        <v/>
      </c>
      <c r="L101" s="31">
        <f>IF(B101&lt;&gt;"Расход",0,IF(H101&lt;&gt;"",E101*H101,IFERROR(IF(VLOOKUP(D101,Категории!$A$3:$F$27,4,FALSE)="",0,E101*VLOOKUP(D101,Категории!$A$3:$F$27,4,FALSE)),0)))</f>
        <v>0</v>
      </c>
      <c r="M101" s="30" t="str">
        <f>IF(A101="","",IF(NOT(ISNUMBER(A101)),"ДАТА; ","")&amp;IF(NOT(ISNUMBER(E101)),"СУММА; ","")&amp;IF(AND(B101&lt;&gt;"",D101&lt;&gt;"",IFERROR(VLOOKUP(D101,Категории!$A$3:$B$27,2,FALSE),"")&lt;&gt;B101),"ТИП/КАТЕГОРИЯ; ","")&amp;IF(AND(B101="Доход",G101=""),"НЕТ № КВИТАНЦИИ; ","")&amp;IF(AND(B101="Расход",H101="",IFERROR(VLOOKUP(D101,Категории!$A$3:$D$27,4,FALSE),"")=""),"УКАЖИТЕ ДОЛЮ; ","")&amp;IF(COUNTIFS($A$5:$A$504,A101,$B$5:$B$504,B101,$C$5:$C$504,C101,$E$5:$E$504,E101)&gt;1,"ВОЗМОЖНЫЙ ДУБЛЬ; ","")&amp;IF(AND(A101&lt;&gt;"",A102&lt;&gt;"",A101&lt;A102),"ПОРЯДОК ДАТ; ",""))</f>
        <v/>
      </c>
      <c r="N101" s="30" t="str">
        <f>IF(A101="","",IF(Настройки_2026!$B$6="ДЕМО",1,IF(I101="ДЕМО",0,1)))</f>
        <v/>
      </c>
    </row>
    <row r="102" spans="1:14" x14ac:dyDescent="0.25">
      <c r="A102" s="26"/>
      <c r="B102" s="27"/>
      <c r="C102" s="27"/>
      <c r="D102" s="27"/>
      <c r="E102" s="28"/>
      <c r="F102" s="27"/>
      <c r="G102" s="27"/>
      <c r="H102" s="29"/>
      <c r="I102" s="27"/>
      <c r="J102" s="27"/>
      <c r="K102" s="30" t="str">
        <f t="shared" si="1"/>
        <v/>
      </c>
      <c r="L102" s="31">
        <f>IF(B102&lt;&gt;"Расход",0,IF(H102&lt;&gt;"",E102*H102,IFERROR(IF(VLOOKUP(D102,Категории!$A$3:$F$27,4,FALSE)="",0,E102*VLOOKUP(D102,Категории!$A$3:$F$27,4,FALSE)),0)))</f>
        <v>0</v>
      </c>
      <c r="M102" s="30" t="str">
        <f>IF(A102="","",IF(NOT(ISNUMBER(A102)),"ДАТА; ","")&amp;IF(NOT(ISNUMBER(E102)),"СУММА; ","")&amp;IF(AND(B102&lt;&gt;"",D102&lt;&gt;"",IFERROR(VLOOKUP(D102,Категории!$A$3:$B$27,2,FALSE),"")&lt;&gt;B102),"ТИП/КАТЕГОРИЯ; ","")&amp;IF(AND(B102="Доход",G102=""),"НЕТ № КВИТАНЦИИ; ","")&amp;IF(AND(B102="Расход",H102="",IFERROR(VLOOKUP(D102,Категории!$A$3:$D$27,4,FALSE),"")=""),"УКАЖИТЕ ДОЛЮ; ","")&amp;IF(COUNTIFS($A$5:$A$504,A102,$B$5:$B$504,B102,$C$5:$C$504,C102,$E$5:$E$504,E102)&gt;1,"ВОЗМОЖНЫЙ ДУБЛЬ; ","")&amp;IF(AND(A102&lt;&gt;"",A103&lt;&gt;"",A102&lt;A103),"ПОРЯДОК ДАТ; ",""))</f>
        <v/>
      </c>
      <c r="N102" s="30" t="str">
        <f>IF(A102="","",IF(Настройки_2026!$B$6="ДЕМО",1,IF(I102="ДЕМО",0,1)))</f>
        <v/>
      </c>
    </row>
    <row r="103" spans="1:14" x14ac:dyDescent="0.25">
      <c r="A103" s="26"/>
      <c r="B103" s="27"/>
      <c r="C103" s="27"/>
      <c r="D103" s="27"/>
      <c r="E103" s="28"/>
      <c r="F103" s="27"/>
      <c r="G103" s="27"/>
      <c r="H103" s="29"/>
      <c r="I103" s="27"/>
      <c r="J103" s="27"/>
      <c r="K103" s="30" t="str">
        <f t="shared" si="1"/>
        <v/>
      </c>
      <c r="L103" s="31">
        <f>IF(B103&lt;&gt;"Расход",0,IF(H103&lt;&gt;"",E103*H103,IFERROR(IF(VLOOKUP(D103,Категории!$A$3:$F$27,4,FALSE)="",0,E103*VLOOKUP(D103,Категории!$A$3:$F$27,4,FALSE)),0)))</f>
        <v>0</v>
      </c>
      <c r="M103" s="30" t="str">
        <f>IF(A103="","",IF(NOT(ISNUMBER(A103)),"ДАТА; ","")&amp;IF(NOT(ISNUMBER(E103)),"СУММА; ","")&amp;IF(AND(B103&lt;&gt;"",D103&lt;&gt;"",IFERROR(VLOOKUP(D103,Категории!$A$3:$B$27,2,FALSE),"")&lt;&gt;B103),"ТИП/КАТЕГОРИЯ; ","")&amp;IF(AND(B103="Доход",G103=""),"НЕТ № КВИТАНЦИИ; ","")&amp;IF(AND(B103="Расход",H103="",IFERROR(VLOOKUP(D103,Категории!$A$3:$D$27,4,FALSE),"")=""),"УКАЖИТЕ ДОЛЮ; ","")&amp;IF(COUNTIFS($A$5:$A$504,A103,$B$5:$B$504,B103,$C$5:$C$504,C103,$E$5:$E$504,E103)&gt;1,"ВОЗМОЖНЫЙ ДУБЛЬ; ","")&amp;IF(AND(A103&lt;&gt;"",A104&lt;&gt;"",A103&lt;A104),"ПОРЯДОК ДАТ; ",""))</f>
        <v/>
      </c>
      <c r="N103" s="30" t="str">
        <f>IF(A103="","",IF(Настройки_2026!$B$6="ДЕМО",1,IF(I103="ДЕМО",0,1)))</f>
        <v/>
      </c>
    </row>
    <row r="104" spans="1:14" x14ac:dyDescent="0.25">
      <c r="A104" s="26"/>
      <c r="B104" s="27"/>
      <c r="C104" s="27"/>
      <c r="D104" s="27"/>
      <c r="E104" s="28"/>
      <c r="F104" s="27"/>
      <c r="G104" s="27"/>
      <c r="H104" s="29"/>
      <c r="I104" s="27"/>
      <c r="J104" s="27"/>
      <c r="K104" s="30" t="str">
        <f t="shared" si="1"/>
        <v/>
      </c>
      <c r="L104" s="31">
        <f>IF(B104&lt;&gt;"Расход",0,IF(H104&lt;&gt;"",E104*H104,IFERROR(IF(VLOOKUP(D104,Категории!$A$3:$F$27,4,FALSE)="",0,E104*VLOOKUP(D104,Категории!$A$3:$F$27,4,FALSE)),0)))</f>
        <v>0</v>
      </c>
      <c r="M104" s="30" t="str">
        <f>IF(A104="","",IF(NOT(ISNUMBER(A104)),"ДАТА; ","")&amp;IF(NOT(ISNUMBER(E104)),"СУММА; ","")&amp;IF(AND(B104&lt;&gt;"",D104&lt;&gt;"",IFERROR(VLOOKUP(D104,Категории!$A$3:$B$27,2,FALSE),"")&lt;&gt;B104),"ТИП/КАТЕГОРИЯ; ","")&amp;IF(AND(B104="Доход",G104=""),"НЕТ № КВИТАНЦИИ; ","")&amp;IF(AND(B104="Расход",H104="",IFERROR(VLOOKUP(D104,Категории!$A$3:$D$27,4,FALSE),"")=""),"УКАЖИТЕ ДОЛЮ; ","")&amp;IF(COUNTIFS($A$5:$A$504,A104,$B$5:$B$504,B104,$C$5:$C$504,C104,$E$5:$E$504,E104)&gt;1,"ВОЗМОЖНЫЙ ДУБЛЬ; ","")&amp;IF(AND(A104&lt;&gt;"",A105&lt;&gt;"",A104&lt;A105),"ПОРЯДОК ДАТ; ",""))</f>
        <v/>
      </c>
      <c r="N104" s="30" t="str">
        <f>IF(A104="","",IF(Настройки_2026!$B$6="ДЕМО",1,IF(I104="ДЕМО",0,1)))</f>
        <v/>
      </c>
    </row>
    <row r="105" spans="1:14" x14ac:dyDescent="0.25">
      <c r="A105" s="26"/>
      <c r="B105" s="27"/>
      <c r="C105" s="27"/>
      <c r="D105" s="27"/>
      <c r="E105" s="28"/>
      <c r="F105" s="27"/>
      <c r="G105" s="27"/>
      <c r="H105" s="29"/>
      <c r="I105" s="27"/>
      <c r="J105" s="27"/>
      <c r="K105" s="30" t="str">
        <f t="shared" si="1"/>
        <v/>
      </c>
      <c r="L105" s="31">
        <f>IF(B105&lt;&gt;"Расход",0,IF(H105&lt;&gt;"",E105*H105,IFERROR(IF(VLOOKUP(D105,Категории!$A$3:$F$27,4,FALSE)="",0,E105*VLOOKUP(D105,Категории!$A$3:$F$27,4,FALSE)),0)))</f>
        <v>0</v>
      </c>
      <c r="M105" s="30" t="str">
        <f>IF(A105="","",IF(NOT(ISNUMBER(A105)),"ДАТА; ","")&amp;IF(NOT(ISNUMBER(E105)),"СУММА; ","")&amp;IF(AND(B105&lt;&gt;"",D105&lt;&gt;"",IFERROR(VLOOKUP(D105,Категории!$A$3:$B$27,2,FALSE),"")&lt;&gt;B105),"ТИП/КАТЕГОРИЯ; ","")&amp;IF(AND(B105="Доход",G105=""),"НЕТ № КВИТАНЦИИ; ","")&amp;IF(AND(B105="Расход",H105="",IFERROR(VLOOKUP(D105,Категории!$A$3:$D$27,4,FALSE),"")=""),"УКАЖИТЕ ДОЛЮ; ","")&amp;IF(COUNTIFS($A$5:$A$504,A105,$B$5:$B$504,B105,$C$5:$C$504,C105,$E$5:$E$504,E105)&gt;1,"ВОЗМОЖНЫЙ ДУБЛЬ; ","")&amp;IF(AND(A105&lt;&gt;"",A106&lt;&gt;"",A105&lt;A106),"ПОРЯДОК ДАТ; ",""))</f>
        <v/>
      </c>
      <c r="N105" s="30" t="str">
        <f>IF(A105="","",IF(Настройки_2026!$B$6="ДЕМО",1,IF(I105="ДЕМО",0,1)))</f>
        <v/>
      </c>
    </row>
    <row r="106" spans="1:14" x14ac:dyDescent="0.25">
      <c r="A106" s="26"/>
      <c r="B106" s="27"/>
      <c r="C106" s="27"/>
      <c r="D106" s="27"/>
      <c r="E106" s="28"/>
      <c r="F106" s="27"/>
      <c r="G106" s="27"/>
      <c r="H106" s="29"/>
      <c r="I106" s="27"/>
      <c r="J106" s="27"/>
      <c r="K106" s="30" t="str">
        <f t="shared" si="1"/>
        <v/>
      </c>
      <c r="L106" s="31">
        <f>IF(B106&lt;&gt;"Расход",0,IF(H106&lt;&gt;"",E106*H106,IFERROR(IF(VLOOKUP(D106,Категории!$A$3:$F$27,4,FALSE)="",0,E106*VLOOKUP(D106,Категории!$A$3:$F$27,4,FALSE)),0)))</f>
        <v>0</v>
      </c>
      <c r="M106" s="30" t="str">
        <f>IF(A106="","",IF(NOT(ISNUMBER(A106)),"ДАТА; ","")&amp;IF(NOT(ISNUMBER(E106)),"СУММА; ","")&amp;IF(AND(B106&lt;&gt;"",D106&lt;&gt;"",IFERROR(VLOOKUP(D106,Категории!$A$3:$B$27,2,FALSE),"")&lt;&gt;B106),"ТИП/КАТЕГОРИЯ; ","")&amp;IF(AND(B106="Доход",G106=""),"НЕТ № КВИТАНЦИИ; ","")&amp;IF(AND(B106="Расход",H106="",IFERROR(VLOOKUP(D106,Категории!$A$3:$D$27,4,FALSE),"")=""),"УКАЖИТЕ ДОЛЮ; ","")&amp;IF(COUNTIFS($A$5:$A$504,A106,$B$5:$B$504,B106,$C$5:$C$504,C106,$E$5:$E$504,E106)&gt;1,"ВОЗМОЖНЫЙ ДУБЛЬ; ","")&amp;IF(AND(A106&lt;&gt;"",A107&lt;&gt;"",A106&lt;A107),"ПОРЯДОК ДАТ; ",""))</f>
        <v/>
      </c>
      <c r="N106" s="30" t="str">
        <f>IF(A106="","",IF(Настройки_2026!$B$6="ДЕМО",1,IF(I106="ДЕМО",0,1)))</f>
        <v/>
      </c>
    </row>
    <row r="107" spans="1:14" x14ac:dyDescent="0.25">
      <c r="A107" s="26"/>
      <c r="B107" s="27"/>
      <c r="C107" s="27"/>
      <c r="D107" s="27"/>
      <c r="E107" s="28"/>
      <c r="F107" s="27"/>
      <c r="G107" s="27"/>
      <c r="H107" s="29"/>
      <c r="I107" s="27"/>
      <c r="J107" s="27"/>
      <c r="K107" s="30" t="str">
        <f t="shared" si="1"/>
        <v/>
      </c>
      <c r="L107" s="31">
        <f>IF(B107&lt;&gt;"Расход",0,IF(H107&lt;&gt;"",E107*H107,IFERROR(IF(VLOOKUP(D107,Категории!$A$3:$F$27,4,FALSE)="",0,E107*VLOOKUP(D107,Категории!$A$3:$F$27,4,FALSE)),0)))</f>
        <v>0</v>
      </c>
      <c r="M107" s="30" t="str">
        <f>IF(A107="","",IF(NOT(ISNUMBER(A107)),"ДАТА; ","")&amp;IF(NOT(ISNUMBER(E107)),"СУММА; ","")&amp;IF(AND(B107&lt;&gt;"",D107&lt;&gt;"",IFERROR(VLOOKUP(D107,Категории!$A$3:$B$27,2,FALSE),"")&lt;&gt;B107),"ТИП/КАТЕГОРИЯ; ","")&amp;IF(AND(B107="Доход",G107=""),"НЕТ № КВИТАНЦИИ; ","")&amp;IF(AND(B107="Расход",H107="",IFERROR(VLOOKUP(D107,Категории!$A$3:$D$27,4,FALSE),"")=""),"УКАЖИТЕ ДОЛЮ; ","")&amp;IF(COUNTIFS($A$5:$A$504,A107,$B$5:$B$504,B107,$C$5:$C$504,C107,$E$5:$E$504,E107)&gt;1,"ВОЗМОЖНЫЙ ДУБЛЬ; ","")&amp;IF(AND(A107&lt;&gt;"",A108&lt;&gt;"",A107&lt;A108),"ПОРЯДОК ДАТ; ",""))</f>
        <v/>
      </c>
      <c r="N107" s="30" t="str">
        <f>IF(A107="","",IF(Настройки_2026!$B$6="ДЕМО",1,IF(I107="ДЕМО",0,1)))</f>
        <v/>
      </c>
    </row>
    <row r="108" spans="1:14" x14ac:dyDescent="0.25">
      <c r="A108" s="26"/>
      <c r="B108" s="27"/>
      <c r="C108" s="27"/>
      <c r="D108" s="27"/>
      <c r="E108" s="28"/>
      <c r="F108" s="27"/>
      <c r="G108" s="27"/>
      <c r="H108" s="29"/>
      <c r="I108" s="27"/>
      <c r="J108" s="27"/>
      <c r="K108" s="30" t="str">
        <f t="shared" si="1"/>
        <v/>
      </c>
      <c r="L108" s="31">
        <f>IF(B108&lt;&gt;"Расход",0,IF(H108&lt;&gt;"",E108*H108,IFERROR(IF(VLOOKUP(D108,Категории!$A$3:$F$27,4,FALSE)="",0,E108*VLOOKUP(D108,Категории!$A$3:$F$27,4,FALSE)),0)))</f>
        <v>0</v>
      </c>
      <c r="M108" s="30" t="str">
        <f>IF(A108="","",IF(NOT(ISNUMBER(A108)),"ДАТА; ","")&amp;IF(NOT(ISNUMBER(E108)),"СУММА; ","")&amp;IF(AND(B108&lt;&gt;"",D108&lt;&gt;"",IFERROR(VLOOKUP(D108,Категории!$A$3:$B$27,2,FALSE),"")&lt;&gt;B108),"ТИП/КАТЕГОРИЯ; ","")&amp;IF(AND(B108="Доход",G108=""),"НЕТ № КВИТАНЦИИ; ","")&amp;IF(AND(B108="Расход",H108="",IFERROR(VLOOKUP(D108,Категории!$A$3:$D$27,4,FALSE),"")=""),"УКАЖИТЕ ДОЛЮ; ","")&amp;IF(COUNTIFS($A$5:$A$504,A108,$B$5:$B$504,B108,$C$5:$C$504,C108,$E$5:$E$504,E108)&gt;1,"ВОЗМОЖНЫЙ ДУБЛЬ; ","")&amp;IF(AND(A108&lt;&gt;"",A109&lt;&gt;"",A108&lt;A109),"ПОРЯДОК ДАТ; ",""))</f>
        <v/>
      </c>
      <c r="N108" s="30" t="str">
        <f>IF(A108="","",IF(Настройки_2026!$B$6="ДЕМО",1,IF(I108="ДЕМО",0,1)))</f>
        <v/>
      </c>
    </row>
    <row r="109" spans="1:14" x14ac:dyDescent="0.25">
      <c r="A109" s="26"/>
      <c r="B109" s="27"/>
      <c r="C109" s="27"/>
      <c r="D109" s="27"/>
      <c r="E109" s="28"/>
      <c r="F109" s="27"/>
      <c r="G109" s="27"/>
      <c r="H109" s="29"/>
      <c r="I109" s="27"/>
      <c r="J109" s="27"/>
      <c r="K109" s="30" t="str">
        <f t="shared" si="1"/>
        <v/>
      </c>
      <c r="L109" s="31">
        <f>IF(B109&lt;&gt;"Расход",0,IF(H109&lt;&gt;"",E109*H109,IFERROR(IF(VLOOKUP(D109,Категории!$A$3:$F$27,4,FALSE)="",0,E109*VLOOKUP(D109,Категории!$A$3:$F$27,4,FALSE)),0)))</f>
        <v>0</v>
      </c>
      <c r="M109" s="30" t="str">
        <f>IF(A109="","",IF(NOT(ISNUMBER(A109)),"ДАТА; ","")&amp;IF(NOT(ISNUMBER(E109)),"СУММА; ","")&amp;IF(AND(B109&lt;&gt;"",D109&lt;&gt;"",IFERROR(VLOOKUP(D109,Категории!$A$3:$B$27,2,FALSE),"")&lt;&gt;B109),"ТИП/КАТЕГОРИЯ; ","")&amp;IF(AND(B109="Доход",G109=""),"НЕТ № КВИТАНЦИИ; ","")&amp;IF(AND(B109="Расход",H109="",IFERROR(VLOOKUP(D109,Категории!$A$3:$D$27,4,FALSE),"")=""),"УКАЖИТЕ ДОЛЮ; ","")&amp;IF(COUNTIFS($A$5:$A$504,A109,$B$5:$B$504,B109,$C$5:$C$504,C109,$E$5:$E$504,E109)&gt;1,"ВОЗМОЖНЫЙ ДУБЛЬ; ","")&amp;IF(AND(A109&lt;&gt;"",A110&lt;&gt;"",A109&lt;A110),"ПОРЯДОК ДАТ; ",""))</f>
        <v/>
      </c>
      <c r="N109" s="30" t="str">
        <f>IF(A109="","",IF(Настройки_2026!$B$6="ДЕМО",1,IF(I109="ДЕМО",0,1)))</f>
        <v/>
      </c>
    </row>
    <row r="110" spans="1:14" x14ac:dyDescent="0.25">
      <c r="A110" s="26"/>
      <c r="B110" s="27"/>
      <c r="C110" s="27"/>
      <c r="D110" s="27"/>
      <c r="E110" s="28"/>
      <c r="F110" s="27"/>
      <c r="G110" s="27"/>
      <c r="H110" s="29"/>
      <c r="I110" s="27"/>
      <c r="J110" s="27"/>
      <c r="K110" s="30" t="str">
        <f t="shared" si="1"/>
        <v/>
      </c>
      <c r="L110" s="31">
        <f>IF(B110&lt;&gt;"Расход",0,IF(H110&lt;&gt;"",E110*H110,IFERROR(IF(VLOOKUP(D110,Категории!$A$3:$F$27,4,FALSE)="",0,E110*VLOOKUP(D110,Категории!$A$3:$F$27,4,FALSE)),0)))</f>
        <v>0</v>
      </c>
      <c r="M110" s="30" t="str">
        <f>IF(A110="","",IF(NOT(ISNUMBER(A110)),"ДАТА; ","")&amp;IF(NOT(ISNUMBER(E110)),"СУММА; ","")&amp;IF(AND(B110&lt;&gt;"",D110&lt;&gt;"",IFERROR(VLOOKUP(D110,Категории!$A$3:$B$27,2,FALSE),"")&lt;&gt;B110),"ТИП/КАТЕГОРИЯ; ","")&amp;IF(AND(B110="Доход",G110=""),"НЕТ № КВИТАНЦИИ; ","")&amp;IF(AND(B110="Расход",H110="",IFERROR(VLOOKUP(D110,Категории!$A$3:$D$27,4,FALSE),"")=""),"УКАЖИТЕ ДОЛЮ; ","")&amp;IF(COUNTIFS($A$5:$A$504,A110,$B$5:$B$504,B110,$C$5:$C$504,C110,$E$5:$E$504,E110)&gt;1,"ВОЗМОЖНЫЙ ДУБЛЬ; ","")&amp;IF(AND(A110&lt;&gt;"",A111&lt;&gt;"",A110&lt;A111),"ПОРЯДОК ДАТ; ",""))</f>
        <v/>
      </c>
      <c r="N110" s="30" t="str">
        <f>IF(A110="","",IF(Настройки_2026!$B$6="ДЕМО",1,IF(I110="ДЕМО",0,1)))</f>
        <v/>
      </c>
    </row>
    <row r="111" spans="1:14" x14ac:dyDescent="0.25">
      <c r="A111" s="26"/>
      <c r="B111" s="27"/>
      <c r="C111" s="27"/>
      <c r="D111" s="27"/>
      <c r="E111" s="28"/>
      <c r="F111" s="27"/>
      <c r="G111" s="27"/>
      <c r="H111" s="29"/>
      <c r="I111" s="27"/>
      <c r="J111" s="27"/>
      <c r="K111" s="30" t="str">
        <f t="shared" si="1"/>
        <v/>
      </c>
      <c r="L111" s="31">
        <f>IF(B111&lt;&gt;"Расход",0,IF(H111&lt;&gt;"",E111*H111,IFERROR(IF(VLOOKUP(D111,Категории!$A$3:$F$27,4,FALSE)="",0,E111*VLOOKUP(D111,Категории!$A$3:$F$27,4,FALSE)),0)))</f>
        <v>0</v>
      </c>
      <c r="M111" s="30" t="str">
        <f>IF(A111="","",IF(NOT(ISNUMBER(A111)),"ДАТА; ","")&amp;IF(NOT(ISNUMBER(E111)),"СУММА; ","")&amp;IF(AND(B111&lt;&gt;"",D111&lt;&gt;"",IFERROR(VLOOKUP(D111,Категории!$A$3:$B$27,2,FALSE),"")&lt;&gt;B111),"ТИП/КАТЕГОРИЯ; ","")&amp;IF(AND(B111="Доход",G111=""),"НЕТ № КВИТАНЦИИ; ","")&amp;IF(AND(B111="Расход",H111="",IFERROR(VLOOKUP(D111,Категории!$A$3:$D$27,4,FALSE),"")=""),"УКАЖИТЕ ДОЛЮ; ","")&amp;IF(COUNTIFS($A$5:$A$504,A111,$B$5:$B$504,B111,$C$5:$C$504,C111,$E$5:$E$504,E111)&gt;1,"ВОЗМОЖНЫЙ ДУБЛЬ; ","")&amp;IF(AND(A111&lt;&gt;"",A112&lt;&gt;"",A111&lt;A112),"ПОРЯДОК ДАТ; ",""))</f>
        <v/>
      </c>
      <c r="N111" s="30" t="str">
        <f>IF(A111="","",IF(Настройки_2026!$B$6="ДЕМО",1,IF(I111="ДЕМО",0,1)))</f>
        <v/>
      </c>
    </row>
    <row r="112" spans="1:14" x14ac:dyDescent="0.25">
      <c r="A112" s="26"/>
      <c r="B112" s="27"/>
      <c r="C112" s="27"/>
      <c r="D112" s="27"/>
      <c r="E112" s="28"/>
      <c r="F112" s="27"/>
      <c r="G112" s="27"/>
      <c r="H112" s="29"/>
      <c r="I112" s="27"/>
      <c r="J112" s="27"/>
      <c r="K112" s="30" t="str">
        <f t="shared" si="1"/>
        <v/>
      </c>
      <c r="L112" s="31">
        <f>IF(B112&lt;&gt;"Расход",0,IF(H112&lt;&gt;"",E112*H112,IFERROR(IF(VLOOKUP(D112,Категории!$A$3:$F$27,4,FALSE)="",0,E112*VLOOKUP(D112,Категории!$A$3:$F$27,4,FALSE)),0)))</f>
        <v>0</v>
      </c>
      <c r="M112" s="30" t="str">
        <f>IF(A112="","",IF(NOT(ISNUMBER(A112)),"ДАТА; ","")&amp;IF(NOT(ISNUMBER(E112)),"СУММА; ","")&amp;IF(AND(B112&lt;&gt;"",D112&lt;&gt;"",IFERROR(VLOOKUP(D112,Категории!$A$3:$B$27,2,FALSE),"")&lt;&gt;B112),"ТИП/КАТЕГОРИЯ; ","")&amp;IF(AND(B112="Доход",G112=""),"НЕТ № КВИТАНЦИИ; ","")&amp;IF(AND(B112="Расход",H112="",IFERROR(VLOOKUP(D112,Категории!$A$3:$D$27,4,FALSE),"")=""),"УКАЖИТЕ ДОЛЮ; ","")&amp;IF(COUNTIFS($A$5:$A$504,A112,$B$5:$B$504,B112,$C$5:$C$504,C112,$E$5:$E$504,E112)&gt;1,"ВОЗМОЖНЫЙ ДУБЛЬ; ","")&amp;IF(AND(A112&lt;&gt;"",A113&lt;&gt;"",A112&lt;A113),"ПОРЯДОК ДАТ; ",""))</f>
        <v/>
      </c>
      <c r="N112" s="30" t="str">
        <f>IF(A112="","",IF(Настройки_2026!$B$6="ДЕМО",1,IF(I112="ДЕМО",0,1)))</f>
        <v/>
      </c>
    </row>
    <row r="113" spans="1:14" x14ac:dyDescent="0.25">
      <c r="A113" s="26"/>
      <c r="B113" s="27"/>
      <c r="C113" s="27"/>
      <c r="D113" s="27"/>
      <c r="E113" s="28"/>
      <c r="F113" s="27"/>
      <c r="G113" s="27"/>
      <c r="H113" s="29"/>
      <c r="I113" s="27"/>
      <c r="J113" s="27"/>
      <c r="K113" s="30" t="str">
        <f t="shared" si="1"/>
        <v/>
      </c>
      <c r="L113" s="31">
        <f>IF(B113&lt;&gt;"Расход",0,IF(H113&lt;&gt;"",E113*H113,IFERROR(IF(VLOOKUP(D113,Категории!$A$3:$F$27,4,FALSE)="",0,E113*VLOOKUP(D113,Категории!$A$3:$F$27,4,FALSE)),0)))</f>
        <v>0</v>
      </c>
      <c r="M113" s="30" t="str">
        <f>IF(A113="","",IF(NOT(ISNUMBER(A113)),"ДАТА; ","")&amp;IF(NOT(ISNUMBER(E113)),"СУММА; ","")&amp;IF(AND(B113&lt;&gt;"",D113&lt;&gt;"",IFERROR(VLOOKUP(D113,Категории!$A$3:$B$27,2,FALSE),"")&lt;&gt;B113),"ТИП/КАТЕГОРИЯ; ","")&amp;IF(AND(B113="Доход",G113=""),"НЕТ № КВИТАНЦИИ; ","")&amp;IF(AND(B113="Расход",H113="",IFERROR(VLOOKUP(D113,Категории!$A$3:$D$27,4,FALSE),"")=""),"УКАЖИТЕ ДОЛЮ; ","")&amp;IF(COUNTIFS($A$5:$A$504,A113,$B$5:$B$504,B113,$C$5:$C$504,C113,$E$5:$E$504,E113)&gt;1,"ВОЗМОЖНЫЙ ДУБЛЬ; ","")&amp;IF(AND(A113&lt;&gt;"",A114&lt;&gt;"",A113&lt;A114),"ПОРЯДОК ДАТ; ",""))</f>
        <v/>
      </c>
      <c r="N113" s="30" t="str">
        <f>IF(A113="","",IF(Настройки_2026!$B$6="ДЕМО",1,IF(I113="ДЕМО",0,1)))</f>
        <v/>
      </c>
    </row>
    <row r="114" spans="1:14" x14ac:dyDescent="0.25">
      <c r="A114" s="26"/>
      <c r="B114" s="27"/>
      <c r="C114" s="27"/>
      <c r="D114" s="27"/>
      <c r="E114" s="28"/>
      <c r="F114" s="27"/>
      <c r="G114" s="27"/>
      <c r="H114" s="29"/>
      <c r="I114" s="27"/>
      <c r="J114" s="27"/>
      <c r="K114" s="30" t="str">
        <f t="shared" si="1"/>
        <v/>
      </c>
      <c r="L114" s="31">
        <f>IF(B114&lt;&gt;"Расход",0,IF(H114&lt;&gt;"",E114*H114,IFERROR(IF(VLOOKUP(D114,Категории!$A$3:$F$27,4,FALSE)="",0,E114*VLOOKUP(D114,Категории!$A$3:$F$27,4,FALSE)),0)))</f>
        <v>0</v>
      </c>
      <c r="M114" s="30" t="str">
        <f>IF(A114="","",IF(NOT(ISNUMBER(A114)),"ДАТА; ","")&amp;IF(NOT(ISNUMBER(E114)),"СУММА; ","")&amp;IF(AND(B114&lt;&gt;"",D114&lt;&gt;"",IFERROR(VLOOKUP(D114,Категории!$A$3:$B$27,2,FALSE),"")&lt;&gt;B114),"ТИП/КАТЕГОРИЯ; ","")&amp;IF(AND(B114="Доход",G114=""),"НЕТ № КВИТАНЦИИ; ","")&amp;IF(AND(B114="Расход",H114="",IFERROR(VLOOKUP(D114,Категории!$A$3:$D$27,4,FALSE),"")=""),"УКАЖИТЕ ДОЛЮ; ","")&amp;IF(COUNTIFS($A$5:$A$504,A114,$B$5:$B$504,B114,$C$5:$C$504,C114,$E$5:$E$504,E114)&gt;1,"ВОЗМОЖНЫЙ ДУБЛЬ; ","")&amp;IF(AND(A114&lt;&gt;"",A115&lt;&gt;"",A114&lt;A115),"ПОРЯДОК ДАТ; ",""))</f>
        <v/>
      </c>
      <c r="N114" s="30" t="str">
        <f>IF(A114="","",IF(Настройки_2026!$B$6="ДЕМО",1,IF(I114="ДЕМО",0,1)))</f>
        <v/>
      </c>
    </row>
    <row r="115" spans="1:14" x14ac:dyDescent="0.25">
      <c r="A115" s="26"/>
      <c r="B115" s="27"/>
      <c r="C115" s="27"/>
      <c r="D115" s="27"/>
      <c r="E115" s="28"/>
      <c r="F115" s="27"/>
      <c r="G115" s="27"/>
      <c r="H115" s="29"/>
      <c r="I115" s="27"/>
      <c r="J115" s="27"/>
      <c r="K115" s="30" t="str">
        <f t="shared" si="1"/>
        <v/>
      </c>
      <c r="L115" s="31">
        <f>IF(B115&lt;&gt;"Расход",0,IF(H115&lt;&gt;"",E115*H115,IFERROR(IF(VLOOKUP(D115,Категории!$A$3:$F$27,4,FALSE)="",0,E115*VLOOKUP(D115,Категории!$A$3:$F$27,4,FALSE)),0)))</f>
        <v>0</v>
      </c>
      <c r="M115" s="30" t="str">
        <f>IF(A115="","",IF(NOT(ISNUMBER(A115)),"ДАТА; ","")&amp;IF(NOT(ISNUMBER(E115)),"СУММА; ","")&amp;IF(AND(B115&lt;&gt;"",D115&lt;&gt;"",IFERROR(VLOOKUP(D115,Категории!$A$3:$B$27,2,FALSE),"")&lt;&gt;B115),"ТИП/КАТЕГОРИЯ; ","")&amp;IF(AND(B115="Доход",G115=""),"НЕТ № КВИТАНЦИИ; ","")&amp;IF(AND(B115="Расход",H115="",IFERROR(VLOOKUP(D115,Категории!$A$3:$D$27,4,FALSE),"")=""),"УКАЖИТЕ ДОЛЮ; ","")&amp;IF(COUNTIFS($A$5:$A$504,A115,$B$5:$B$504,B115,$C$5:$C$504,C115,$E$5:$E$504,E115)&gt;1,"ВОЗМОЖНЫЙ ДУБЛЬ; ","")&amp;IF(AND(A115&lt;&gt;"",A116&lt;&gt;"",A115&lt;A116),"ПОРЯДОК ДАТ; ",""))</f>
        <v/>
      </c>
      <c r="N115" s="30" t="str">
        <f>IF(A115="","",IF(Настройки_2026!$B$6="ДЕМО",1,IF(I115="ДЕМО",0,1)))</f>
        <v/>
      </c>
    </row>
    <row r="116" spans="1:14" x14ac:dyDescent="0.25">
      <c r="A116" s="26"/>
      <c r="B116" s="27"/>
      <c r="C116" s="27"/>
      <c r="D116" s="27"/>
      <c r="E116" s="28"/>
      <c r="F116" s="27"/>
      <c r="G116" s="27"/>
      <c r="H116" s="29"/>
      <c r="I116" s="27"/>
      <c r="J116" s="27"/>
      <c r="K116" s="30" t="str">
        <f t="shared" si="1"/>
        <v/>
      </c>
      <c r="L116" s="31">
        <f>IF(B116&lt;&gt;"Расход",0,IF(H116&lt;&gt;"",E116*H116,IFERROR(IF(VLOOKUP(D116,Категории!$A$3:$F$27,4,FALSE)="",0,E116*VLOOKUP(D116,Категории!$A$3:$F$27,4,FALSE)),0)))</f>
        <v>0</v>
      </c>
      <c r="M116" s="30" t="str">
        <f>IF(A116="","",IF(NOT(ISNUMBER(A116)),"ДАТА; ","")&amp;IF(NOT(ISNUMBER(E116)),"СУММА; ","")&amp;IF(AND(B116&lt;&gt;"",D116&lt;&gt;"",IFERROR(VLOOKUP(D116,Категории!$A$3:$B$27,2,FALSE),"")&lt;&gt;B116),"ТИП/КАТЕГОРИЯ; ","")&amp;IF(AND(B116="Доход",G116=""),"НЕТ № КВИТАНЦИИ; ","")&amp;IF(AND(B116="Расход",H116="",IFERROR(VLOOKUP(D116,Категории!$A$3:$D$27,4,FALSE),"")=""),"УКАЖИТЕ ДОЛЮ; ","")&amp;IF(COUNTIFS($A$5:$A$504,A116,$B$5:$B$504,B116,$C$5:$C$504,C116,$E$5:$E$504,E116)&gt;1,"ВОЗМОЖНЫЙ ДУБЛЬ; ","")&amp;IF(AND(A116&lt;&gt;"",A117&lt;&gt;"",A116&lt;A117),"ПОРЯДОК ДАТ; ",""))</f>
        <v/>
      </c>
      <c r="N116" s="30" t="str">
        <f>IF(A116="","",IF(Настройки_2026!$B$6="ДЕМО",1,IF(I116="ДЕМО",0,1)))</f>
        <v/>
      </c>
    </row>
    <row r="117" spans="1:14" x14ac:dyDescent="0.25">
      <c r="A117" s="26"/>
      <c r="B117" s="27"/>
      <c r="C117" s="27"/>
      <c r="D117" s="27"/>
      <c r="E117" s="28"/>
      <c r="F117" s="27"/>
      <c r="G117" s="27"/>
      <c r="H117" s="29"/>
      <c r="I117" s="27"/>
      <c r="J117" s="27"/>
      <c r="K117" s="30" t="str">
        <f t="shared" si="1"/>
        <v/>
      </c>
      <c r="L117" s="31">
        <f>IF(B117&lt;&gt;"Расход",0,IF(H117&lt;&gt;"",E117*H117,IFERROR(IF(VLOOKUP(D117,Категории!$A$3:$F$27,4,FALSE)="",0,E117*VLOOKUP(D117,Категории!$A$3:$F$27,4,FALSE)),0)))</f>
        <v>0</v>
      </c>
      <c r="M117" s="30" t="str">
        <f>IF(A117="","",IF(NOT(ISNUMBER(A117)),"ДАТА; ","")&amp;IF(NOT(ISNUMBER(E117)),"СУММА; ","")&amp;IF(AND(B117&lt;&gt;"",D117&lt;&gt;"",IFERROR(VLOOKUP(D117,Категории!$A$3:$B$27,2,FALSE),"")&lt;&gt;B117),"ТИП/КАТЕГОРИЯ; ","")&amp;IF(AND(B117="Доход",G117=""),"НЕТ № КВИТАНЦИИ; ","")&amp;IF(AND(B117="Расход",H117="",IFERROR(VLOOKUP(D117,Категории!$A$3:$D$27,4,FALSE),"")=""),"УКАЖИТЕ ДОЛЮ; ","")&amp;IF(COUNTIFS($A$5:$A$504,A117,$B$5:$B$504,B117,$C$5:$C$504,C117,$E$5:$E$504,E117)&gt;1,"ВОЗМОЖНЫЙ ДУБЛЬ; ","")&amp;IF(AND(A117&lt;&gt;"",A118&lt;&gt;"",A117&lt;A118),"ПОРЯДОК ДАТ; ",""))</f>
        <v/>
      </c>
      <c r="N117" s="30" t="str">
        <f>IF(A117="","",IF(Настройки_2026!$B$6="ДЕМО",1,IF(I117="ДЕМО",0,1)))</f>
        <v/>
      </c>
    </row>
    <row r="118" spans="1:14" x14ac:dyDescent="0.25">
      <c r="A118" s="26"/>
      <c r="B118" s="27"/>
      <c r="C118" s="27"/>
      <c r="D118" s="27"/>
      <c r="E118" s="28"/>
      <c r="F118" s="27"/>
      <c r="G118" s="27"/>
      <c r="H118" s="29"/>
      <c r="I118" s="27"/>
      <c r="J118" s="27"/>
      <c r="K118" s="30" t="str">
        <f t="shared" si="1"/>
        <v/>
      </c>
      <c r="L118" s="31">
        <f>IF(B118&lt;&gt;"Расход",0,IF(H118&lt;&gt;"",E118*H118,IFERROR(IF(VLOOKUP(D118,Категории!$A$3:$F$27,4,FALSE)="",0,E118*VLOOKUP(D118,Категории!$A$3:$F$27,4,FALSE)),0)))</f>
        <v>0</v>
      </c>
      <c r="M118" s="30" t="str">
        <f>IF(A118="","",IF(NOT(ISNUMBER(A118)),"ДАТА; ","")&amp;IF(NOT(ISNUMBER(E118)),"СУММА; ","")&amp;IF(AND(B118&lt;&gt;"",D118&lt;&gt;"",IFERROR(VLOOKUP(D118,Категории!$A$3:$B$27,2,FALSE),"")&lt;&gt;B118),"ТИП/КАТЕГОРИЯ; ","")&amp;IF(AND(B118="Доход",G118=""),"НЕТ № КВИТАНЦИИ; ","")&amp;IF(AND(B118="Расход",H118="",IFERROR(VLOOKUP(D118,Категории!$A$3:$D$27,4,FALSE),"")=""),"УКАЖИТЕ ДОЛЮ; ","")&amp;IF(COUNTIFS($A$5:$A$504,A118,$B$5:$B$504,B118,$C$5:$C$504,C118,$E$5:$E$504,E118)&gt;1,"ВОЗМОЖНЫЙ ДУБЛЬ; ","")&amp;IF(AND(A118&lt;&gt;"",A119&lt;&gt;"",A118&lt;A119),"ПОРЯДОК ДАТ; ",""))</f>
        <v/>
      </c>
      <c r="N118" s="30" t="str">
        <f>IF(A118="","",IF(Настройки_2026!$B$6="ДЕМО",1,IF(I118="ДЕМО",0,1)))</f>
        <v/>
      </c>
    </row>
    <row r="119" spans="1:14" x14ac:dyDescent="0.25">
      <c r="A119" s="26"/>
      <c r="B119" s="27"/>
      <c r="C119" s="27"/>
      <c r="D119" s="27"/>
      <c r="E119" s="28"/>
      <c r="F119" s="27"/>
      <c r="G119" s="27"/>
      <c r="H119" s="29"/>
      <c r="I119" s="27"/>
      <c r="J119" s="27"/>
      <c r="K119" s="30" t="str">
        <f t="shared" si="1"/>
        <v/>
      </c>
      <c r="L119" s="31">
        <f>IF(B119&lt;&gt;"Расход",0,IF(H119&lt;&gt;"",E119*H119,IFERROR(IF(VLOOKUP(D119,Категории!$A$3:$F$27,4,FALSE)="",0,E119*VLOOKUP(D119,Категории!$A$3:$F$27,4,FALSE)),0)))</f>
        <v>0</v>
      </c>
      <c r="M119" s="30" t="str">
        <f>IF(A119="","",IF(NOT(ISNUMBER(A119)),"ДАТА; ","")&amp;IF(NOT(ISNUMBER(E119)),"СУММА; ","")&amp;IF(AND(B119&lt;&gt;"",D119&lt;&gt;"",IFERROR(VLOOKUP(D119,Категории!$A$3:$B$27,2,FALSE),"")&lt;&gt;B119),"ТИП/КАТЕГОРИЯ; ","")&amp;IF(AND(B119="Доход",G119=""),"НЕТ № КВИТАНЦИИ; ","")&amp;IF(AND(B119="Расход",H119="",IFERROR(VLOOKUP(D119,Категории!$A$3:$D$27,4,FALSE),"")=""),"УКАЖИТЕ ДОЛЮ; ","")&amp;IF(COUNTIFS($A$5:$A$504,A119,$B$5:$B$504,B119,$C$5:$C$504,C119,$E$5:$E$504,E119)&gt;1,"ВОЗМОЖНЫЙ ДУБЛЬ; ","")&amp;IF(AND(A119&lt;&gt;"",A120&lt;&gt;"",A119&lt;A120),"ПОРЯДОК ДАТ; ",""))</f>
        <v/>
      </c>
      <c r="N119" s="30" t="str">
        <f>IF(A119="","",IF(Настройки_2026!$B$6="ДЕМО",1,IF(I119="ДЕМО",0,1)))</f>
        <v/>
      </c>
    </row>
    <row r="120" spans="1:14" x14ac:dyDescent="0.25">
      <c r="A120" s="26"/>
      <c r="B120" s="27"/>
      <c r="C120" s="27"/>
      <c r="D120" s="27"/>
      <c r="E120" s="28"/>
      <c r="F120" s="27"/>
      <c r="G120" s="27"/>
      <c r="H120" s="29"/>
      <c r="I120" s="27"/>
      <c r="J120" s="27"/>
      <c r="K120" s="30" t="str">
        <f t="shared" si="1"/>
        <v/>
      </c>
      <c r="L120" s="31">
        <f>IF(B120&lt;&gt;"Расход",0,IF(H120&lt;&gt;"",E120*H120,IFERROR(IF(VLOOKUP(D120,Категории!$A$3:$F$27,4,FALSE)="",0,E120*VLOOKUP(D120,Категории!$A$3:$F$27,4,FALSE)),0)))</f>
        <v>0</v>
      </c>
      <c r="M120" s="30" t="str">
        <f>IF(A120="","",IF(NOT(ISNUMBER(A120)),"ДАТА; ","")&amp;IF(NOT(ISNUMBER(E120)),"СУММА; ","")&amp;IF(AND(B120&lt;&gt;"",D120&lt;&gt;"",IFERROR(VLOOKUP(D120,Категории!$A$3:$B$27,2,FALSE),"")&lt;&gt;B120),"ТИП/КАТЕГОРИЯ; ","")&amp;IF(AND(B120="Доход",G120=""),"НЕТ № КВИТАНЦИИ; ","")&amp;IF(AND(B120="Расход",H120="",IFERROR(VLOOKUP(D120,Категории!$A$3:$D$27,4,FALSE),"")=""),"УКАЖИТЕ ДОЛЮ; ","")&amp;IF(COUNTIFS($A$5:$A$504,A120,$B$5:$B$504,B120,$C$5:$C$504,C120,$E$5:$E$504,E120)&gt;1,"ВОЗМОЖНЫЙ ДУБЛЬ; ","")&amp;IF(AND(A120&lt;&gt;"",A121&lt;&gt;"",A120&lt;A121),"ПОРЯДОК ДАТ; ",""))</f>
        <v/>
      </c>
      <c r="N120" s="30" t="str">
        <f>IF(A120="","",IF(Настройки_2026!$B$6="ДЕМО",1,IF(I120="ДЕМО",0,1)))</f>
        <v/>
      </c>
    </row>
    <row r="121" spans="1:14" x14ac:dyDescent="0.25">
      <c r="A121" s="26"/>
      <c r="B121" s="27"/>
      <c r="C121" s="27"/>
      <c r="D121" s="27"/>
      <c r="E121" s="28"/>
      <c r="F121" s="27"/>
      <c r="G121" s="27"/>
      <c r="H121" s="29"/>
      <c r="I121" s="27"/>
      <c r="J121" s="27"/>
      <c r="K121" s="30" t="str">
        <f t="shared" si="1"/>
        <v/>
      </c>
      <c r="L121" s="31">
        <f>IF(B121&lt;&gt;"Расход",0,IF(H121&lt;&gt;"",E121*H121,IFERROR(IF(VLOOKUP(D121,Категории!$A$3:$F$27,4,FALSE)="",0,E121*VLOOKUP(D121,Категории!$A$3:$F$27,4,FALSE)),0)))</f>
        <v>0</v>
      </c>
      <c r="M121" s="30" t="str">
        <f>IF(A121="","",IF(NOT(ISNUMBER(A121)),"ДАТА; ","")&amp;IF(NOT(ISNUMBER(E121)),"СУММА; ","")&amp;IF(AND(B121&lt;&gt;"",D121&lt;&gt;"",IFERROR(VLOOKUP(D121,Категории!$A$3:$B$27,2,FALSE),"")&lt;&gt;B121),"ТИП/КАТЕГОРИЯ; ","")&amp;IF(AND(B121="Доход",G121=""),"НЕТ № КВИТАНЦИИ; ","")&amp;IF(AND(B121="Расход",H121="",IFERROR(VLOOKUP(D121,Категории!$A$3:$D$27,4,FALSE),"")=""),"УКАЖИТЕ ДОЛЮ; ","")&amp;IF(COUNTIFS($A$5:$A$504,A121,$B$5:$B$504,B121,$C$5:$C$504,C121,$E$5:$E$504,E121)&gt;1,"ВОЗМОЖНЫЙ ДУБЛЬ; ","")&amp;IF(AND(A121&lt;&gt;"",A122&lt;&gt;"",A121&lt;A122),"ПОРЯДОК ДАТ; ",""))</f>
        <v/>
      </c>
      <c r="N121" s="30" t="str">
        <f>IF(A121="","",IF(Настройки_2026!$B$6="ДЕМО",1,IF(I121="ДЕМО",0,1)))</f>
        <v/>
      </c>
    </row>
    <row r="122" spans="1:14" x14ac:dyDescent="0.25">
      <c r="A122" s="26"/>
      <c r="B122" s="27"/>
      <c r="C122" s="27"/>
      <c r="D122" s="27"/>
      <c r="E122" s="28"/>
      <c r="F122" s="27"/>
      <c r="G122" s="27"/>
      <c r="H122" s="29"/>
      <c r="I122" s="27"/>
      <c r="J122" s="27"/>
      <c r="K122" s="30" t="str">
        <f t="shared" si="1"/>
        <v/>
      </c>
      <c r="L122" s="31">
        <f>IF(B122&lt;&gt;"Расход",0,IF(H122&lt;&gt;"",E122*H122,IFERROR(IF(VLOOKUP(D122,Категории!$A$3:$F$27,4,FALSE)="",0,E122*VLOOKUP(D122,Категории!$A$3:$F$27,4,FALSE)),0)))</f>
        <v>0</v>
      </c>
      <c r="M122" s="30" t="str">
        <f>IF(A122="","",IF(NOT(ISNUMBER(A122)),"ДАТА; ","")&amp;IF(NOT(ISNUMBER(E122)),"СУММА; ","")&amp;IF(AND(B122&lt;&gt;"",D122&lt;&gt;"",IFERROR(VLOOKUP(D122,Категории!$A$3:$B$27,2,FALSE),"")&lt;&gt;B122),"ТИП/КАТЕГОРИЯ; ","")&amp;IF(AND(B122="Доход",G122=""),"НЕТ № КВИТАНЦИИ; ","")&amp;IF(AND(B122="Расход",H122="",IFERROR(VLOOKUP(D122,Категории!$A$3:$D$27,4,FALSE),"")=""),"УКАЖИТЕ ДОЛЮ; ","")&amp;IF(COUNTIFS($A$5:$A$504,A122,$B$5:$B$504,B122,$C$5:$C$504,C122,$E$5:$E$504,E122)&gt;1,"ВОЗМОЖНЫЙ ДУБЛЬ; ","")&amp;IF(AND(A122&lt;&gt;"",A123&lt;&gt;"",A122&lt;A123),"ПОРЯДОК ДАТ; ",""))</f>
        <v/>
      </c>
      <c r="N122" s="30" t="str">
        <f>IF(A122="","",IF(Настройки_2026!$B$6="ДЕМО",1,IF(I122="ДЕМО",0,1)))</f>
        <v/>
      </c>
    </row>
    <row r="123" spans="1:14" x14ac:dyDescent="0.25">
      <c r="A123" s="26"/>
      <c r="B123" s="27"/>
      <c r="C123" s="27"/>
      <c r="D123" s="27"/>
      <c r="E123" s="28"/>
      <c r="F123" s="27"/>
      <c r="G123" s="27"/>
      <c r="H123" s="29"/>
      <c r="I123" s="27"/>
      <c r="J123" s="27"/>
      <c r="K123" s="30" t="str">
        <f t="shared" si="1"/>
        <v/>
      </c>
      <c r="L123" s="31">
        <f>IF(B123&lt;&gt;"Расход",0,IF(H123&lt;&gt;"",E123*H123,IFERROR(IF(VLOOKUP(D123,Категории!$A$3:$F$27,4,FALSE)="",0,E123*VLOOKUP(D123,Категории!$A$3:$F$27,4,FALSE)),0)))</f>
        <v>0</v>
      </c>
      <c r="M123" s="30" t="str">
        <f>IF(A123="","",IF(NOT(ISNUMBER(A123)),"ДАТА; ","")&amp;IF(NOT(ISNUMBER(E123)),"СУММА; ","")&amp;IF(AND(B123&lt;&gt;"",D123&lt;&gt;"",IFERROR(VLOOKUP(D123,Категории!$A$3:$B$27,2,FALSE),"")&lt;&gt;B123),"ТИП/КАТЕГОРИЯ; ","")&amp;IF(AND(B123="Доход",G123=""),"НЕТ № КВИТАНЦИИ; ","")&amp;IF(AND(B123="Расход",H123="",IFERROR(VLOOKUP(D123,Категории!$A$3:$D$27,4,FALSE),"")=""),"УКАЖИТЕ ДОЛЮ; ","")&amp;IF(COUNTIFS($A$5:$A$504,A123,$B$5:$B$504,B123,$C$5:$C$504,C123,$E$5:$E$504,E123)&gt;1,"ВОЗМОЖНЫЙ ДУБЛЬ; ","")&amp;IF(AND(A123&lt;&gt;"",A124&lt;&gt;"",A123&lt;A124),"ПОРЯДОК ДАТ; ",""))</f>
        <v/>
      </c>
      <c r="N123" s="30" t="str">
        <f>IF(A123="","",IF(Настройки_2026!$B$6="ДЕМО",1,IF(I123="ДЕМО",0,1)))</f>
        <v/>
      </c>
    </row>
    <row r="124" spans="1:14" x14ac:dyDescent="0.25">
      <c r="A124" s="26"/>
      <c r="B124" s="27"/>
      <c r="C124" s="27"/>
      <c r="D124" s="27"/>
      <c r="E124" s="28"/>
      <c r="F124" s="27"/>
      <c r="G124" s="27"/>
      <c r="H124" s="29"/>
      <c r="I124" s="27"/>
      <c r="J124" s="27"/>
      <c r="K124" s="30" t="str">
        <f t="shared" si="1"/>
        <v/>
      </c>
      <c r="L124" s="31">
        <f>IF(B124&lt;&gt;"Расход",0,IF(H124&lt;&gt;"",E124*H124,IFERROR(IF(VLOOKUP(D124,Категории!$A$3:$F$27,4,FALSE)="",0,E124*VLOOKUP(D124,Категории!$A$3:$F$27,4,FALSE)),0)))</f>
        <v>0</v>
      </c>
      <c r="M124" s="30" t="str">
        <f>IF(A124="","",IF(NOT(ISNUMBER(A124)),"ДАТА; ","")&amp;IF(NOT(ISNUMBER(E124)),"СУММА; ","")&amp;IF(AND(B124&lt;&gt;"",D124&lt;&gt;"",IFERROR(VLOOKUP(D124,Категории!$A$3:$B$27,2,FALSE),"")&lt;&gt;B124),"ТИП/КАТЕГОРИЯ; ","")&amp;IF(AND(B124="Доход",G124=""),"НЕТ № КВИТАНЦИИ; ","")&amp;IF(AND(B124="Расход",H124="",IFERROR(VLOOKUP(D124,Категории!$A$3:$D$27,4,FALSE),"")=""),"УКАЖИТЕ ДОЛЮ; ","")&amp;IF(COUNTIFS($A$5:$A$504,A124,$B$5:$B$504,B124,$C$5:$C$504,C124,$E$5:$E$504,E124)&gt;1,"ВОЗМОЖНЫЙ ДУБЛЬ; ","")&amp;IF(AND(A124&lt;&gt;"",A125&lt;&gt;"",A124&lt;A125),"ПОРЯДОК ДАТ; ",""))</f>
        <v/>
      </c>
      <c r="N124" s="30" t="str">
        <f>IF(A124="","",IF(Настройки_2026!$B$6="ДЕМО",1,IF(I124="ДЕМО",0,1)))</f>
        <v/>
      </c>
    </row>
    <row r="125" spans="1:14" x14ac:dyDescent="0.25">
      <c r="A125" s="26"/>
      <c r="B125" s="27"/>
      <c r="C125" s="27"/>
      <c r="D125" s="27"/>
      <c r="E125" s="28"/>
      <c r="F125" s="27"/>
      <c r="G125" s="27"/>
      <c r="H125" s="29"/>
      <c r="I125" s="27"/>
      <c r="J125" s="27"/>
      <c r="K125" s="30" t="str">
        <f t="shared" si="1"/>
        <v/>
      </c>
      <c r="L125" s="31">
        <f>IF(B125&lt;&gt;"Расход",0,IF(H125&lt;&gt;"",E125*H125,IFERROR(IF(VLOOKUP(D125,Категории!$A$3:$F$27,4,FALSE)="",0,E125*VLOOKUP(D125,Категории!$A$3:$F$27,4,FALSE)),0)))</f>
        <v>0</v>
      </c>
      <c r="M125" s="30" t="str">
        <f>IF(A125="","",IF(NOT(ISNUMBER(A125)),"ДАТА; ","")&amp;IF(NOT(ISNUMBER(E125)),"СУММА; ","")&amp;IF(AND(B125&lt;&gt;"",D125&lt;&gt;"",IFERROR(VLOOKUP(D125,Категории!$A$3:$B$27,2,FALSE),"")&lt;&gt;B125),"ТИП/КАТЕГОРИЯ; ","")&amp;IF(AND(B125="Доход",G125=""),"НЕТ № КВИТАНЦИИ; ","")&amp;IF(AND(B125="Расход",H125="",IFERROR(VLOOKUP(D125,Категории!$A$3:$D$27,4,FALSE),"")=""),"УКАЖИТЕ ДОЛЮ; ","")&amp;IF(COUNTIFS($A$5:$A$504,A125,$B$5:$B$504,B125,$C$5:$C$504,C125,$E$5:$E$504,E125)&gt;1,"ВОЗМОЖНЫЙ ДУБЛЬ; ","")&amp;IF(AND(A125&lt;&gt;"",A126&lt;&gt;"",A125&lt;A126),"ПОРЯДОК ДАТ; ",""))</f>
        <v/>
      </c>
      <c r="N125" s="30" t="str">
        <f>IF(A125="","",IF(Настройки_2026!$B$6="ДЕМО",1,IF(I125="ДЕМО",0,1)))</f>
        <v/>
      </c>
    </row>
    <row r="126" spans="1:14" x14ac:dyDescent="0.25">
      <c r="A126" s="26"/>
      <c r="B126" s="27"/>
      <c r="C126" s="27"/>
      <c r="D126" s="27"/>
      <c r="E126" s="28"/>
      <c r="F126" s="27"/>
      <c r="G126" s="27"/>
      <c r="H126" s="29"/>
      <c r="I126" s="27"/>
      <c r="J126" s="27"/>
      <c r="K126" s="30" t="str">
        <f t="shared" si="1"/>
        <v/>
      </c>
      <c r="L126" s="31">
        <f>IF(B126&lt;&gt;"Расход",0,IF(H126&lt;&gt;"",E126*H126,IFERROR(IF(VLOOKUP(D126,Категории!$A$3:$F$27,4,FALSE)="",0,E126*VLOOKUP(D126,Категории!$A$3:$F$27,4,FALSE)),0)))</f>
        <v>0</v>
      </c>
      <c r="M126" s="30" t="str">
        <f>IF(A126="","",IF(NOT(ISNUMBER(A126)),"ДАТА; ","")&amp;IF(NOT(ISNUMBER(E126)),"СУММА; ","")&amp;IF(AND(B126&lt;&gt;"",D126&lt;&gt;"",IFERROR(VLOOKUP(D126,Категории!$A$3:$B$27,2,FALSE),"")&lt;&gt;B126),"ТИП/КАТЕГОРИЯ; ","")&amp;IF(AND(B126="Доход",G126=""),"НЕТ № КВИТАНЦИИ; ","")&amp;IF(AND(B126="Расход",H126="",IFERROR(VLOOKUP(D126,Категории!$A$3:$D$27,4,FALSE),"")=""),"УКАЖИТЕ ДОЛЮ; ","")&amp;IF(COUNTIFS($A$5:$A$504,A126,$B$5:$B$504,B126,$C$5:$C$504,C126,$E$5:$E$504,E126)&gt;1,"ВОЗМОЖНЫЙ ДУБЛЬ; ","")&amp;IF(AND(A126&lt;&gt;"",A127&lt;&gt;"",A126&lt;A127),"ПОРЯДОК ДАТ; ",""))</f>
        <v/>
      </c>
      <c r="N126" s="30" t="str">
        <f>IF(A126="","",IF(Настройки_2026!$B$6="ДЕМО",1,IF(I126="ДЕМО",0,1)))</f>
        <v/>
      </c>
    </row>
    <row r="127" spans="1:14" x14ac:dyDescent="0.25">
      <c r="A127" s="26"/>
      <c r="B127" s="27"/>
      <c r="C127" s="27"/>
      <c r="D127" s="27"/>
      <c r="E127" s="28"/>
      <c r="F127" s="27"/>
      <c r="G127" s="27"/>
      <c r="H127" s="29"/>
      <c r="I127" s="27"/>
      <c r="J127" s="27"/>
      <c r="K127" s="30" t="str">
        <f t="shared" si="1"/>
        <v/>
      </c>
      <c r="L127" s="31">
        <f>IF(B127&lt;&gt;"Расход",0,IF(H127&lt;&gt;"",E127*H127,IFERROR(IF(VLOOKUP(D127,Категории!$A$3:$F$27,4,FALSE)="",0,E127*VLOOKUP(D127,Категории!$A$3:$F$27,4,FALSE)),0)))</f>
        <v>0</v>
      </c>
      <c r="M127" s="30" t="str">
        <f>IF(A127="","",IF(NOT(ISNUMBER(A127)),"ДАТА; ","")&amp;IF(NOT(ISNUMBER(E127)),"СУММА; ","")&amp;IF(AND(B127&lt;&gt;"",D127&lt;&gt;"",IFERROR(VLOOKUP(D127,Категории!$A$3:$B$27,2,FALSE),"")&lt;&gt;B127),"ТИП/КАТЕГОРИЯ; ","")&amp;IF(AND(B127="Доход",G127=""),"НЕТ № КВИТАНЦИИ; ","")&amp;IF(AND(B127="Расход",H127="",IFERROR(VLOOKUP(D127,Категории!$A$3:$D$27,4,FALSE),"")=""),"УКАЖИТЕ ДОЛЮ; ","")&amp;IF(COUNTIFS($A$5:$A$504,A127,$B$5:$B$504,B127,$C$5:$C$504,C127,$E$5:$E$504,E127)&gt;1,"ВОЗМОЖНЫЙ ДУБЛЬ; ","")&amp;IF(AND(A127&lt;&gt;"",A128&lt;&gt;"",A127&lt;A128),"ПОРЯДОК ДАТ; ",""))</f>
        <v/>
      </c>
      <c r="N127" s="30" t="str">
        <f>IF(A127="","",IF(Настройки_2026!$B$6="ДЕМО",1,IF(I127="ДЕМО",0,1)))</f>
        <v/>
      </c>
    </row>
    <row r="128" spans="1:14" x14ac:dyDescent="0.25">
      <c r="A128" s="26"/>
      <c r="B128" s="27"/>
      <c r="C128" s="27"/>
      <c r="D128" s="27"/>
      <c r="E128" s="28"/>
      <c r="F128" s="27"/>
      <c r="G128" s="27"/>
      <c r="H128" s="29"/>
      <c r="I128" s="27"/>
      <c r="J128" s="27"/>
      <c r="K128" s="30" t="str">
        <f t="shared" si="1"/>
        <v/>
      </c>
      <c r="L128" s="31">
        <f>IF(B128&lt;&gt;"Расход",0,IF(H128&lt;&gt;"",E128*H128,IFERROR(IF(VLOOKUP(D128,Категории!$A$3:$F$27,4,FALSE)="",0,E128*VLOOKUP(D128,Категории!$A$3:$F$27,4,FALSE)),0)))</f>
        <v>0</v>
      </c>
      <c r="M128" s="30" t="str">
        <f>IF(A128="","",IF(NOT(ISNUMBER(A128)),"ДАТА; ","")&amp;IF(NOT(ISNUMBER(E128)),"СУММА; ","")&amp;IF(AND(B128&lt;&gt;"",D128&lt;&gt;"",IFERROR(VLOOKUP(D128,Категории!$A$3:$B$27,2,FALSE),"")&lt;&gt;B128),"ТИП/КАТЕГОРИЯ; ","")&amp;IF(AND(B128="Доход",G128=""),"НЕТ № КВИТАНЦИИ; ","")&amp;IF(AND(B128="Расход",H128="",IFERROR(VLOOKUP(D128,Категории!$A$3:$D$27,4,FALSE),"")=""),"УКАЖИТЕ ДОЛЮ; ","")&amp;IF(COUNTIFS($A$5:$A$504,A128,$B$5:$B$504,B128,$C$5:$C$504,C128,$E$5:$E$504,E128)&gt;1,"ВОЗМОЖНЫЙ ДУБЛЬ; ","")&amp;IF(AND(A128&lt;&gt;"",A129&lt;&gt;"",A128&lt;A129),"ПОРЯДОК ДАТ; ",""))</f>
        <v/>
      </c>
      <c r="N128" s="30" t="str">
        <f>IF(A128="","",IF(Настройки_2026!$B$6="ДЕМО",1,IF(I128="ДЕМО",0,1)))</f>
        <v/>
      </c>
    </row>
    <row r="129" spans="1:14" x14ac:dyDescent="0.25">
      <c r="A129" s="26"/>
      <c r="B129" s="27"/>
      <c r="C129" s="27"/>
      <c r="D129" s="27"/>
      <c r="E129" s="28"/>
      <c r="F129" s="27"/>
      <c r="G129" s="27"/>
      <c r="H129" s="29"/>
      <c r="I129" s="27"/>
      <c r="J129" s="27"/>
      <c r="K129" s="30" t="str">
        <f t="shared" si="1"/>
        <v/>
      </c>
      <c r="L129" s="31">
        <f>IF(B129&lt;&gt;"Расход",0,IF(H129&lt;&gt;"",E129*H129,IFERROR(IF(VLOOKUP(D129,Категории!$A$3:$F$27,4,FALSE)="",0,E129*VLOOKUP(D129,Категории!$A$3:$F$27,4,FALSE)),0)))</f>
        <v>0</v>
      </c>
      <c r="M129" s="30" t="str">
        <f>IF(A129="","",IF(NOT(ISNUMBER(A129)),"ДАТА; ","")&amp;IF(NOT(ISNUMBER(E129)),"СУММА; ","")&amp;IF(AND(B129&lt;&gt;"",D129&lt;&gt;"",IFERROR(VLOOKUP(D129,Категории!$A$3:$B$27,2,FALSE),"")&lt;&gt;B129),"ТИП/КАТЕГОРИЯ; ","")&amp;IF(AND(B129="Доход",G129=""),"НЕТ № КВИТАНЦИИ; ","")&amp;IF(AND(B129="Расход",H129="",IFERROR(VLOOKUP(D129,Категории!$A$3:$D$27,4,FALSE),"")=""),"УКАЖИТЕ ДОЛЮ; ","")&amp;IF(COUNTIFS($A$5:$A$504,A129,$B$5:$B$504,B129,$C$5:$C$504,C129,$E$5:$E$504,E129)&gt;1,"ВОЗМОЖНЫЙ ДУБЛЬ; ","")&amp;IF(AND(A129&lt;&gt;"",A130&lt;&gt;"",A129&lt;A130),"ПОРЯДОК ДАТ; ",""))</f>
        <v/>
      </c>
      <c r="N129" s="30" t="str">
        <f>IF(A129="","",IF(Настройки_2026!$B$6="ДЕМО",1,IF(I129="ДЕМО",0,1)))</f>
        <v/>
      </c>
    </row>
    <row r="130" spans="1:14" x14ac:dyDescent="0.25">
      <c r="A130" s="26"/>
      <c r="B130" s="27"/>
      <c r="C130" s="27"/>
      <c r="D130" s="27"/>
      <c r="E130" s="28"/>
      <c r="F130" s="27"/>
      <c r="G130" s="27"/>
      <c r="H130" s="29"/>
      <c r="I130" s="27"/>
      <c r="J130" s="27"/>
      <c r="K130" s="30" t="str">
        <f t="shared" si="1"/>
        <v/>
      </c>
      <c r="L130" s="31">
        <f>IF(B130&lt;&gt;"Расход",0,IF(H130&lt;&gt;"",E130*H130,IFERROR(IF(VLOOKUP(D130,Категории!$A$3:$F$27,4,FALSE)="",0,E130*VLOOKUP(D130,Категории!$A$3:$F$27,4,FALSE)),0)))</f>
        <v>0</v>
      </c>
      <c r="M130" s="30" t="str">
        <f>IF(A130="","",IF(NOT(ISNUMBER(A130)),"ДАТА; ","")&amp;IF(NOT(ISNUMBER(E130)),"СУММА; ","")&amp;IF(AND(B130&lt;&gt;"",D130&lt;&gt;"",IFERROR(VLOOKUP(D130,Категории!$A$3:$B$27,2,FALSE),"")&lt;&gt;B130),"ТИП/КАТЕГОРИЯ; ","")&amp;IF(AND(B130="Доход",G130=""),"НЕТ № КВИТАНЦИИ; ","")&amp;IF(AND(B130="Расход",H130="",IFERROR(VLOOKUP(D130,Категории!$A$3:$D$27,4,FALSE),"")=""),"УКАЖИТЕ ДОЛЮ; ","")&amp;IF(COUNTIFS($A$5:$A$504,A130,$B$5:$B$504,B130,$C$5:$C$504,C130,$E$5:$E$504,E130)&gt;1,"ВОЗМОЖНЫЙ ДУБЛЬ; ","")&amp;IF(AND(A130&lt;&gt;"",A131&lt;&gt;"",A130&lt;A131),"ПОРЯДОК ДАТ; ",""))</f>
        <v/>
      </c>
      <c r="N130" s="30" t="str">
        <f>IF(A130="","",IF(Настройки_2026!$B$6="ДЕМО",1,IF(I130="ДЕМО",0,1)))</f>
        <v/>
      </c>
    </row>
    <row r="131" spans="1:14" x14ac:dyDescent="0.25">
      <c r="A131" s="26"/>
      <c r="B131" s="27"/>
      <c r="C131" s="27"/>
      <c r="D131" s="27"/>
      <c r="E131" s="28"/>
      <c r="F131" s="27"/>
      <c r="G131" s="27"/>
      <c r="H131" s="29"/>
      <c r="I131" s="27"/>
      <c r="J131" s="27"/>
      <c r="K131" s="30" t="str">
        <f t="shared" si="1"/>
        <v/>
      </c>
      <c r="L131" s="31">
        <f>IF(B131&lt;&gt;"Расход",0,IF(H131&lt;&gt;"",E131*H131,IFERROR(IF(VLOOKUP(D131,Категории!$A$3:$F$27,4,FALSE)="",0,E131*VLOOKUP(D131,Категории!$A$3:$F$27,4,FALSE)),0)))</f>
        <v>0</v>
      </c>
      <c r="M131" s="30" t="str">
        <f>IF(A131="","",IF(NOT(ISNUMBER(A131)),"ДАТА; ","")&amp;IF(NOT(ISNUMBER(E131)),"СУММА; ","")&amp;IF(AND(B131&lt;&gt;"",D131&lt;&gt;"",IFERROR(VLOOKUP(D131,Категории!$A$3:$B$27,2,FALSE),"")&lt;&gt;B131),"ТИП/КАТЕГОРИЯ; ","")&amp;IF(AND(B131="Доход",G131=""),"НЕТ № КВИТАНЦИИ; ","")&amp;IF(AND(B131="Расход",H131="",IFERROR(VLOOKUP(D131,Категории!$A$3:$D$27,4,FALSE),"")=""),"УКАЖИТЕ ДОЛЮ; ","")&amp;IF(COUNTIFS($A$5:$A$504,A131,$B$5:$B$504,B131,$C$5:$C$504,C131,$E$5:$E$504,E131)&gt;1,"ВОЗМОЖНЫЙ ДУБЛЬ; ","")&amp;IF(AND(A131&lt;&gt;"",A132&lt;&gt;"",A131&lt;A132),"ПОРЯДОК ДАТ; ",""))</f>
        <v/>
      </c>
      <c r="N131" s="30" t="str">
        <f>IF(A131="","",IF(Настройки_2026!$B$6="ДЕМО",1,IF(I131="ДЕМО",0,1)))</f>
        <v/>
      </c>
    </row>
    <row r="132" spans="1:14" x14ac:dyDescent="0.25">
      <c r="A132" s="26"/>
      <c r="B132" s="27"/>
      <c r="C132" s="27"/>
      <c r="D132" s="27"/>
      <c r="E132" s="28"/>
      <c r="F132" s="27"/>
      <c r="G132" s="27"/>
      <c r="H132" s="29"/>
      <c r="I132" s="27"/>
      <c r="J132" s="27"/>
      <c r="K132" s="30" t="str">
        <f t="shared" si="1"/>
        <v/>
      </c>
      <c r="L132" s="31">
        <f>IF(B132&lt;&gt;"Расход",0,IF(H132&lt;&gt;"",E132*H132,IFERROR(IF(VLOOKUP(D132,Категории!$A$3:$F$27,4,FALSE)="",0,E132*VLOOKUP(D132,Категории!$A$3:$F$27,4,FALSE)),0)))</f>
        <v>0</v>
      </c>
      <c r="M132" s="30" t="str">
        <f>IF(A132="","",IF(NOT(ISNUMBER(A132)),"ДАТА; ","")&amp;IF(NOT(ISNUMBER(E132)),"СУММА; ","")&amp;IF(AND(B132&lt;&gt;"",D132&lt;&gt;"",IFERROR(VLOOKUP(D132,Категории!$A$3:$B$27,2,FALSE),"")&lt;&gt;B132),"ТИП/КАТЕГОРИЯ; ","")&amp;IF(AND(B132="Доход",G132=""),"НЕТ № КВИТАНЦИИ; ","")&amp;IF(AND(B132="Расход",H132="",IFERROR(VLOOKUP(D132,Категории!$A$3:$D$27,4,FALSE),"")=""),"УКАЖИТЕ ДОЛЮ; ","")&amp;IF(COUNTIFS($A$5:$A$504,A132,$B$5:$B$504,B132,$C$5:$C$504,C132,$E$5:$E$504,E132)&gt;1,"ВОЗМОЖНЫЙ ДУБЛЬ; ","")&amp;IF(AND(A132&lt;&gt;"",A133&lt;&gt;"",A132&lt;A133),"ПОРЯДОК ДАТ; ",""))</f>
        <v/>
      </c>
      <c r="N132" s="30" t="str">
        <f>IF(A132="","",IF(Настройки_2026!$B$6="ДЕМО",1,IF(I132="ДЕМО",0,1)))</f>
        <v/>
      </c>
    </row>
    <row r="133" spans="1:14" x14ac:dyDescent="0.25">
      <c r="A133" s="26"/>
      <c r="B133" s="27"/>
      <c r="C133" s="27"/>
      <c r="D133" s="27"/>
      <c r="E133" s="28"/>
      <c r="F133" s="27"/>
      <c r="G133" s="27"/>
      <c r="H133" s="29"/>
      <c r="I133" s="27"/>
      <c r="J133" s="27"/>
      <c r="K133" s="30" t="str">
        <f t="shared" ref="K133:K196" si="2">IF(A133="","",MONTH(A133))</f>
        <v/>
      </c>
      <c r="L133" s="31">
        <f>IF(B133&lt;&gt;"Расход",0,IF(H133&lt;&gt;"",E133*H133,IFERROR(IF(VLOOKUP(D133,Категории!$A$3:$F$27,4,FALSE)="",0,E133*VLOOKUP(D133,Категории!$A$3:$F$27,4,FALSE)),0)))</f>
        <v>0</v>
      </c>
      <c r="M133" s="30" t="str">
        <f>IF(A133="","",IF(NOT(ISNUMBER(A133)),"ДАТА; ","")&amp;IF(NOT(ISNUMBER(E133)),"СУММА; ","")&amp;IF(AND(B133&lt;&gt;"",D133&lt;&gt;"",IFERROR(VLOOKUP(D133,Категории!$A$3:$B$27,2,FALSE),"")&lt;&gt;B133),"ТИП/КАТЕГОРИЯ; ","")&amp;IF(AND(B133="Доход",G133=""),"НЕТ № КВИТАНЦИИ; ","")&amp;IF(AND(B133="Расход",H133="",IFERROR(VLOOKUP(D133,Категории!$A$3:$D$27,4,FALSE),"")=""),"УКАЖИТЕ ДОЛЮ; ","")&amp;IF(COUNTIFS($A$5:$A$504,A133,$B$5:$B$504,B133,$C$5:$C$504,C133,$E$5:$E$504,E133)&gt;1,"ВОЗМОЖНЫЙ ДУБЛЬ; ","")&amp;IF(AND(A133&lt;&gt;"",A134&lt;&gt;"",A133&lt;A134),"ПОРЯДОК ДАТ; ",""))</f>
        <v/>
      </c>
      <c r="N133" s="30" t="str">
        <f>IF(A133="","",IF(Настройки_2026!$B$6="ДЕМО",1,IF(I133="ДЕМО",0,1)))</f>
        <v/>
      </c>
    </row>
    <row r="134" spans="1:14" x14ac:dyDescent="0.25">
      <c r="A134" s="26"/>
      <c r="B134" s="27"/>
      <c r="C134" s="27"/>
      <c r="D134" s="27"/>
      <c r="E134" s="28"/>
      <c r="F134" s="27"/>
      <c r="G134" s="27"/>
      <c r="H134" s="29"/>
      <c r="I134" s="27"/>
      <c r="J134" s="27"/>
      <c r="K134" s="30" t="str">
        <f t="shared" si="2"/>
        <v/>
      </c>
      <c r="L134" s="31">
        <f>IF(B134&lt;&gt;"Расход",0,IF(H134&lt;&gt;"",E134*H134,IFERROR(IF(VLOOKUP(D134,Категории!$A$3:$F$27,4,FALSE)="",0,E134*VLOOKUP(D134,Категории!$A$3:$F$27,4,FALSE)),0)))</f>
        <v>0</v>
      </c>
      <c r="M134" s="30" t="str">
        <f>IF(A134="","",IF(NOT(ISNUMBER(A134)),"ДАТА; ","")&amp;IF(NOT(ISNUMBER(E134)),"СУММА; ","")&amp;IF(AND(B134&lt;&gt;"",D134&lt;&gt;"",IFERROR(VLOOKUP(D134,Категории!$A$3:$B$27,2,FALSE),"")&lt;&gt;B134),"ТИП/КАТЕГОРИЯ; ","")&amp;IF(AND(B134="Доход",G134=""),"НЕТ № КВИТАНЦИИ; ","")&amp;IF(AND(B134="Расход",H134="",IFERROR(VLOOKUP(D134,Категории!$A$3:$D$27,4,FALSE),"")=""),"УКАЖИТЕ ДОЛЮ; ","")&amp;IF(COUNTIFS($A$5:$A$504,A134,$B$5:$B$504,B134,$C$5:$C$504,C134,$E$5:$E$504,E134)&gt;1,"ВОЗМОЖНЫЙ ДУБЛЬ; ","")&amp;IF(AND(A134&lt;&gt;"",A135&lt;&gt;"",A134&lt;A135),"ПОРЯДОК ДАТ; ",""))</f>
        <v/>
      </c>
      <c r="N134" s="30" t="str">
        <f>IF(A134="","",IF(Настройки_2026!$B$6="ДЕМО",1,IF(I134="ДЕМО",0,1)))</f>
        <v/>
      </c>
    </row>
    <row r="135" spans="1:14" x14ac:dyDescent="0.25">
      <c r="A135" s="26"/>
      <c r="B135" s="27"/>
      <c r="C135" s="27"/>
      <c r="D135" s="27"/>
      <c r="E135" s="28"/>
      <c r="F135" s="27"/>
      <c r="G135" s="27"/>
      <c r="H135" s="29"/>
      <c r="I135" s="27"/>
      <c r="J135" s="27"/>
      <c r="K135" s="30" t="str">
        <f t="shared" si="2"/>
        <v/>
      </c>
      <c r="L135" s="31">
        <f>IF(B135&lt;&gt;"Расход",0,IF(H135&lt;&gt;"",E135*H135,IFERROR(IF(VLOOKUP(D135,Категории!$A$3:$F$27,4,FALSE)="",0,E135*VLOOKUP(D135,Категории!$A$3:$F$27,4,FALSE)),0)))</f>
        <v>0</v>
      </c>
      <c r="M135" s="30" t="str">
        <f>IF(A135="","",IF(NOT(ISNUMBER(A135)),"ДАТА; ","")&amp;IF(NOT(ISNUMBER(E135)),"СУММА; ","")&amp;IF(AND(B135&lt;&gt;"",D135&lt;&gt;"",IFERROR(VLOOKUP(D135,Категории!$A$3:$B$27,2,FALSE),"")&lt;&gt;B135),"ТИП/КАТЕГОРИЯ; ","")&amp;IF(AND(B135="Доход",G135=""),"НЕТ № КВИТАНЦИИ; ","")&amp;IF(AND(B135="Расход",H135="",IFERROR(VLOOKUP(D135,Категории!$A$3:$D$27,4,FALSE),"")=""),"УКАЖИТЕ ДОЛЮ; ","")&amp;IF(COUNTIFS($A$5:$A$504,A135,$B$5:$B$504,B135,$C$5:$C$504,C135,$E$5:$E$504,E135)&gt;1,"ВОЗМОЖНЫЙ ДУБЛЬ; ","")&amp;IF(AND(A135&lt;&gt;"",A136&lt;&gt;"",A135&lt;A136),"ПОРЯДОК ДАТ; ",""))</f>
        <v/>
      </c>
      <c r="N135" s="30" t="str">
        <f>IF(A135="","",IF(Настройки_2026!$B$6="ДЕМО",1,IF(I135="ДЕМО",0,1)))</f>
        <v/>
      </c>
    </row>
    <row r="136" spans="1:14" x14ac:dyDescent="0.25">
      <c r="A136" s="26"/>
      <c r="B136" s="27"/>
      <c r="C136" s="27"/>
      <c r="D136" s="27"/>
      <c r="E136" s="28"/>
      <c r="F136" s="27"/>
      <c r="G136" s="27"/>
      <c r="H136" s="29"/>
      <c r="I136" s="27"/>
      <c r="J136" s="27"/>
      <c r="K136" s="30" t="str">
        <f t="shared" si="2"/>
        <v/>
      </c>
      <c r="L136" s="31">
        <f>IF(B136&lt;&gt;"Расход",0,IF(H136&lt;&gt;"",E136*H136,IFERROR(IF(VLOOKUP(D136,Категории!$A$3:$F$27,4,FALSE)="",0,E136*VLOOKUP(D136,Категории!$A$3:$F$27,4,FALSE)),0)))</f>
        <v>0</v>
      </c>
      <c r="M136" s="30" t="str">
        <f>IF(A136="","",IF(NOT(ISNUMBER(A136)),"ДАТА; ","")&amp;IF(NOT(ISNUMBER(E136)),"СУММА; ","")&amp;IF(AND(B136&lt;&gt;"",D136&lt;&gt;"",IFERROR(VLOOKUP(D136,Категории!$A$3:$B$27,2,FALSE),"")&lt;&gt;B136),"ТИП/КАТЕГОРИЯ; ","")&amp;IF(AND(B136="Доход",G136=""),"НЕТ № КВИТАНЦИИ; ","")&amp;IF(AND(B136="Расход",H136="",IFERROR(VLOOKUP(D136,Категории!$A$3:$D$27,4,FALSE),"")=""),"УКАЖИТЕ ДОЛЮ; ","")&amp;IF(COUNTIFS($A$5:$A$504,A136,$B$5:$B$504,B136,$C$5:$C$504,C136,$E$5:$E$504,E136)&gt;1,"ВОЗМОЖНЫЙ ДУБЛЬ; ","")&amp;IF(AND(A136&lt;&gt;"",A137&lt;&gt;"",A136&lt;A137),"ПОРЯДОК ДАТ; ",""))</f>
        <v/>
      </c>
      <c r="N136" s="30" t="str">
        <f>IF(A136="","",IF(Настройки_2026!$B$6="ДЕМО",1,IF(I136="ДЕМО",0,1)))</f>
        <v/>
      </c>
    </row>
    <row r="137" spans="1:14" x14ac:dyDescent="0.25">
      <c r="A137" s="26"/>
      <c r="B137" s="27"/>
      <c r="C137" s="27"/>
      <c r="D137" s="27"/>
      <c r="E137" s="28"/>
      <c r="F137" s="27"/>
      <c r="G137" s="27"/>
      <c r="H137" s="29"/>
      <c r="I137" s="27"/>
      <c r="J137" s="27"/>
      <c r="K137" s="30" t="str">
        <f t="shared" si="2"/>
        <v/>
      </c>
      <c r="L137" s="31">
        <f>IF(B137&lt;&gt;"Расход",0,IF(H137&lt;&gt;"",E137*H137,IFERROR(IF(VLOOKUP(D137,Категории!$A$3:$F$27,4,FALSE)="",0,E137*VLOOKUP(D137,Категории!$A$3:$F$27,4,FALSE)),0)))</f>
        <v>0</v>
      </c>
      <c r="M137" s="30" t="str">
        <f>IF(A137="","",IF(NOT(ISNUMBER(A137)),"ДАТА; ","")&amp;IF(NOT(ISNUMBER(E137)),"СУММА; ","")&amp;IF(AND(B137&lt;&gt;"",D137&lt;&gt;"",IFERROR(VLOOKUP(D137,Категории!$A$3:$B$27,2,FALSE),"")&lt;&gt;B137),"ТИП/КАТЕГОРИЯ; ","")&amp;IF(AND(B137="Доход",G137=""),"НЕТ № КВИТАНЦИИ; ","")&amp;IF(AND(B137="Расход",H137="",IFERROR(VLOOKUP(D137,Категории!$A$3:$D$27,4,FALSE),"")=""),"УКАЖИТЕ ДОЛЮ; ","")&amp;IF(COUNTIFS($A$5:$A$504,A137,$B$5:$B$504,B137,$C$5:$C$504,C137,$E$5:$E$504,E137)&gt;1,"ВОЗМОЖНЫЙ ДУБЛЬ; ","")&amp;IF(AND(A137&lt;&gt;"",A138&lt;&gt;"",A137&lt;A138),"ПОРЯДОК ДАТ; ",""))</f>
        <v/>
      </c>
      <c r="N137" s="30" t="str">
        <f>IF(A137="","",IF(Настройки_2026!$B$6="ДЕМО",1,IF(I137="ДЕМО",0,1)))</f>
        <v/>
      </c>
    </row>
    <row r="138" spans="1:14" x14ac:dyDescent="0.25">
      <c r="A138" s="26"/>
      <c r="B138" s="27"/>
      <c r="C138" s="27"/>
      <c r="D138" s="27"/>
      <c r="E138" s="28"/>
      <c r="F138" s="27"/>
      <c r="G138" s="27"/>
      <c r="H138" s="29"/>
      <c r="I138" s="27"/>
      <c r="J138" s="27"/>
      <c r="K138" s="30" t="str">
        <f t="shared" si="2"/>
        <v/>
      </c>
      <c r="L138" s="31">
        <f>IF(B138&lt;&gt;"Расход",0,IF(H138&lt;&gt;"",E138*H138,IFERROR(IF(VLOOKUP(D138,Категории!$A$3:$F$27,4,FALSE)="",0,E138*VLOOKUP(D138,Категории!$A$3:$F$27,4,FALSE)),0)))</f>
        <v>0</v>
      </c>
      <c r="M138" s="30" t="str">
        <f>IF(A138="","",IF(NOT(ISNUMBER(A138)),"ДАТА; ","")&amp;IF(NOT(ISNUMBER(E138)),"СУММА; ","")&amp;IF(AND(B138&lt;&gt;"",D138&lt;&gt;"",IFERROR(VLOOKUP(D138,Категории!$A$3:$B$27,2,FALSE),"")&lt;&gt;B138),"ТИП/КАТЕГОРИЯ; ","")&amp;IF(AND(B138="Доход",G138=""),"НЕТ № КВИТАНЦИИ; ","")&amp;IF(AND(B138="Расход",H138="",IFERROR(VLOOKUP(D138,Категории!$A$3:$D$27,4,FALSE),"")=""),"УКАЖИТЕ ДОЛЮ; ","")&amp;IF(COUNTIFS($A$5:$A$504,A138,$B$5:$B$504,B138,$C$5:$C$504,C138,$E$5:$E$504,E138)&gt;1,"ВОЗМОЖНЫЙ ДУБЛЬ; ","")&amp;IF(AND(A138&lt;&gt;"",A139&lt;&gt;"",A138&lt;A139),"ПОРЯДОК ДАТ; ",""))</f>
        <v/>
      </c>
      <c r="N138" s="30" t="str">
        <f>IF(A138="","",IF(Настройки_2026!$B$6="ДЕМО",1,IF(I138="ДЕМО",0,1)))</f>
        <v/>
      </c>
    </row>
    <row r="139" spans="1:14" x14ac:dyDescent="0.25">
      <c r="A139" s="26"/>
      <c r="B139" s="27"/>
      <c r="C139" s="27"/>
      <c r="D139" s="27"/>
      <c r="E139" s="28"/>
      <c r="F139" s="27"/>
      <c r="G139" s="27"/>
      <c r="H139" s="29"/>
      <c r="I139" s="27"/>
      <c r="J139" s="27"/>
      <c r="K139" s="30" t="str">
        <f t="shared" si="2"/>
        <v/>
      </c>
      <c r="L139" s="31">
        <f>IF(B139&lt;&gt;"Расход",0,IF(H139&lt;&gt;"",E139*H139,IFERROR(IF(VLOOKUP(D139,Категории!$A$3:$F$27,4,FALSE)="",0,E139*VLOOKUP(D139,Категории!$A$3:$F$27,4,FALSE)),0)))</f>
        <v>0</v>
      </c>
      <c r="M139" s="30" t="str">
        <f>IF(A139="","",IF(NOT(ISNUMBER(A139)),"ДАТА; ","")&amp;IF(NOT(ISNUMBER(E139)),"СУММА; ","")&amp;IF(AND(B139&lt;&gt;"",D139&lt;&gt;"",IFERROR(VLOOKUP(D139,Категории!$A$3:$B$27,2,FALSE),"")&lt;&gt;B139),"ТИП/КАТЕГОРИЯ; ","")&amp;IF(AND(B139="Доход",G139=""),"НЕТ № КВИТАНЦИИ; ","")&amp;IF(AND(B139="Расход",H139="",IFERROR(VLOOKUP(D139,Категории!$A$3:$D$27,4,FALSE),"")=""),"УКАЖИТЕ ДОЛЮ; ","")&amp;IF(COUNTIFS($A$5:$A$504,A139,$B$5:$B$504,B139,$C$5:$C$504,C139,$E$5:$E$504,E139)&gt;1,"ВОЗМОЖНЫЙ ДУБЛЬ; ","")&amp;IF(AND(A139&lt;&gt;"",A140&lt;&gt;"",A139&lt;A140),"ПОРЯДОК ДАТ; ",""))</f>
        <v/>
      </c>
      <c r="N139" s="30" t="str">
        <f>IF(A139="","",IF(Настройки_2026!$B$6="ДЕМО",1,IF(I139="ДЕМО",0,1)))</f>
        <v/>
      </c>
    </row>
    <row r="140" spans="1:14" x14ac:dyDescent="0.25">
      <c r="A140" s="26"/>
      <c r="B140" s="27"/>
      <c r="C140" s="27"/>
      <c r="D140" s="27"/>
      <c r="E140" s="28"/>
      <c r="F140" s="27"/>
      <c r="G140" s="27"/>
      <c r="H140" s="29"/>
      <c r="I140" s="27"/>
      <c r="J140" s="27"/>
      <c r="K140" s="30" t="str">
        <f t="shared" si="2"/>
        <v/>
      </c>
      <c r="L140" s="31">
        <f>IF(B140&lt;&gt;"Расход",0,IF(H140&lt;&gt;"",E140*H140,IFERROR(IF(VLOOKUP(D140,Категории!$A$3:$F$27,4,FALSE)="",0,E140*VLOOKUP(D140,Категории!$A$3:$F$27,4,FALSE)),0)))</f>
        <v>0</v>
      </c>
      <c r="M140" s="30" t="str">
        <f>IF(A140="","",IF(NOT(ISNUMBER(A140)),"ДАТА; ","")&amp;IF(NOT(ISNUMBER(E140)),"СУММА; ","")&amp;IF(AND(B140&lt;&gt;"",D140&lt;&gt;"",IFERROR(VLOOKUP(D140,Категории!$A$3:$B$27,2,FALSE),"")&lt;&gt;B140),"ТИП/КАТЕГОРИЯ; ","")&amp;IF(AND(B140="Доход",G140=""),"НЕТ № КВИТАНЦИИ; ","")&amp;IF(AND(B140="Расход",H140="",IFERROR(VLOOKUP(D140,Категории!$A$3:$D$27,4,FALSE),"")=""),"УКАЖИТЕ ДОЛЮ; ","")&amp;IF(COUNTIFS($A$5:$A$504,A140,$B$5:$B$504,B140,$C$5:$C$504,C140,$E$5:$E$504,E140)&gt;1,"ВОЗМОЖНЫЙ ДУБЛЬ; ","")&amp;IF(AND(A140&lt;&gt;"",A141&lt;&gt;"",A140&lt;A141),"ПОРЯДОК ДАТ; ",""))</f>
        <v/>
      </c>
      <c r="N140" s="30" t="str">
        <f>IF(A140="","",IF(Настройки_2026!$B$6="ДЕМО",1,IF(I140="ДЕМО",0,1)))</f>
        <v/>
      </c>
    </row>
    <row r="141" spans="1:14" x14ac:dyDescent="0.25">
      <c r="A141" s="26"/>
      <c r="B141" s="27"/>
      <c r="C141" s="27"/>
      <c r="D141" s="27"/>
      <c r="E141" s="28"/>
      <c r="F141" s="27"/>
      <c r="G141" s="27"/>
      <c r="H141" s="29"/>
      <c r="I141" s="27"/>
      <c r="J141" s="27"/>
      <c r="K141" s="30" t="str">
        <f t="shared" si="2"/>
        <v/>
      </c>
      <c r="L141" s="31">
        <f>IF(B141&lt;&gt;"Расход",0,IF(H141&lt;&gt;"",E141*H141,IFERROR(IF(VLOOKUP(D141,Категории!$A$3:$F$27,4,FALSE)="",0,E141*VLOOKUP(D141,Категории!$A$3:$F$27,4,FALSE)),0)))</f>
        <v>0</v>
      </c>
      <c r="M141" s="30" t="str">
        <f>IF(A141="","",IF(NOT(ISNUMBER(A141)),"ДАТА; ","")&amp;IF(NOT(ISNUMBER(E141)),"СУММА; ","")&amp;IF(AND(B141&lt;&gt;"",D141&lt;&gt;"",IFERROR(VLOOKUP(D141,Категории!$A$3:$B$27,2,FALSE),"")&lt;&gt;B141),"ТИП/КАТЕГОРИЯ; ","")&amp;IF(AND(B141="Доход",G141=""),"НЕТ № КВИТАНЦИИ; ","")&amp;IF(AND(B141="Расход",H141="",IFERROR(VLOOKUP(D141,Категории!$A$3:$D$27,4,FALSE),"")=""),"УКАЖИТЕ ДОЛЮ; ","")&amp;IF(COUNTIFS($A$5:$A$504,A141,$B$5:$B$504,B141,$C$5:$C$504,C141,$E$5:$E$504,E141)&gt;1,"ВОЗМОЖНЫЙ ДУБЛЬ; ","")&amp;IF(AND(A141&lt;&gt;"",A142&lt;&gt;"",A141&lt;A142),"ПОРЯДОК ДАТ; ",""))</f>
        <v/>
      </c>
      <c r="N141" s="30" t="str">
        <f>IF(A141="","",IF(Настройки_2026!$B$6="ДЕМО",1,IF(I141="ДЕМО",0,1)))</f>
        <v/>
      </c>
    </row>
    <row r="142" spans="1:14" x14ac:dyDescent="0.25">
      <c r="A142" s="26"/>
      <c r="B142" s="27"/>
      <c r="C142" s="27"/>
      <c r="D142" s="27"/>
      <c r="E142" s="28"/>
      <c r="F142" s="27"/>
      <c r="G142" s="27"/>
      <c r="H142" s="29"/>
      <c r="I142" s="27"/>
      <c r="J142" s="27"/>
      <c r="K142" s="30" t="str">
        <f t="shared" si="2"/>
        <v/>
      </c>
      <c r="L142" s="31">
        <f>IF(B142&lt;&gt;"Расход",0,IF(H142&lt;&gt;"",E142*H142,IFERROR(IF(VLOOKUP(D142,Категории!$A$3:$F$27,4,FALSE)="",0,E142*VLOOKUP(D142,Категории!$A$3:$F$27,4,FALSE)),0)))</f>
        <v>0</v>
      </c>
      <c r="M142" s="30" t="str">
        <f>IF(A142="","",IF(NOT(ISNUMBER(A142)),"ДАТА; ","")&amp;IF(NOT(ISNUMBER(E142)),"СУММА; ","")&amp;IF(AND(B142&lt;&gt;"",D142&lt;&gt;"",IFERROR(VLOOKUP(D142,Категории!$A$3:$B$27,2,FALSE),"")&lt;&gt;B142),"ТИП/КАТЕГОРИЯ; ","")&amp;IF(AND(B142="Доход",G142=""),"НЕТ № КВИТАНЦИИ; ","")&amp;IF(AND(B142="Расход",H142="",IFERROR(VLOOKUP(D142,Категории!$A$3:$D$27,4,FALSE),"")=""),"УКАЖИТЕ ДОЛЮ; ","")&amp;IF(COUNTIFS($A$5:$A$504,A142,$B$5:$B$504,B142,$C$5:$C$504,C142,$E$5:$E$504,E142)&gt;1,"ВОЗМОЖНЫЙ ДУБЛЬ; ","")&amp;IF(AND(A142&lt;&gt;"",A143&lt;&gt;"",A142&lt;A143),"ПОРЯДОК ДАТ; ",""))</f>
        <v/>
      </c>
      <c r="N142" s="30" t="str">
        <f>IF(A142="","",IF(Настройки_2026!$B$6="ДЕМО",1,IF(I142="ДЕМО",0,1)))</f>
        <v/>
      </c>
    </row>
    <row r="143" spans="1:14" x14ac:dyDescent="0.25">
      <c r="A143" s="26"/>
      <c r="B143" s="27"/>
      <c r="C143" s="27"/>
      <c r="D143" s="27"/>
      <c r="E143" s="28"/>
      <c r="F143" s="27"/>
      <c r="G143" s="27"/>
      <c r="H143" s="29"/>
      <c r="I143" s="27"/>
      <c r="J143" s="27"/>
      <c r="K143" s="30" t="str">
        <f t="shared" si="2"/>
        <v/>
      </c>
      <c r="L143" s="31">
        <f>IF(B143&lt;&gt;"Расход",0,IF(H143&lt;&gt;"",E143*H143,IFERROR(IF(VLOOKUP(D143,Категории!$A$3:$F$27,4,FALSE)="",0,E143*VLOOKUP(D143,Категории!$A$3:$F$27,4,FALSE)),0)))</f>
        <v>0</v>
      </c>
      <c r="M143" s="30" t="str">
        <f>IF(A143="","",IF(NOT(ISNUMBER(A143)),"ДАТА; ","")&amp;IF(NOT(ISNUMBER(E143)),"СУММА; ","")&amp;IF(AND(B143&lt;&gt;"",D143&lt;&gt;"",IFERROR(VLOOKUP(D143,Категории!$A$3:$B$27,2,FALSE),"")&lt;&gt;B143),"ТИП/КАТЕГОРИЯ; ","")&amp;IF(AND(B143="Доход",G143=""),"НЕТ № КВИТАНЦИИ; ","")&amp;IF(AND(B143="Расход",H143="",IFERROR(VLOOKUP(D143,Категории!$A$3:$D$27,4,FALSE),"")=""),"УКАЖИТЕ ДОЛЮ; ","")&amp;IF(COUNTIFS($A$5:$A$504,A143,$B$5:$B$504,B143,$C$5:$C$504,C143,$E$5:$E$504,E143)&gt;1,"ВОЗМОЖНЫЙ ДУБЛЬ; ","")&amp;IF(AND(A143&lt;&gt;"",A144&lt;&gt;"",A143&lt;A144),"ПОРЯДОК ДАТ; ",""))</f>
        <v/>
      </c>
      <c r="N143" s="30" t="str">
        <f>IF(A143="","",IF(Настройки_2026!$B$6="ДЕМО",1,IF(I143="ДЕМО",0,1)))</f>
        <v/>
      </c>
    </row>
    <row r="144" spans="1:14" x14ac:dyDescent="0.25">
      <c r="A144" s="26"/>
      <c r="B144" s="27"/>
      <c r="C144" s="27"/>
      <c r="D144" s="27"/>
      <c r="E144" s="28"/>
      <c r="F144" s="27"/>
      <c r="G144" s="27"/>
      <c r="H144" s="29"/>
      <c r="I144" s="27"/>
      <c r="J144" s="27"/>
      <c r="K144" s="30" t="str">
        <f t="shared" si="2"/>
        <v/>
      </c>
      <c r="L144" s="31">
        <f>IF(B144&lt;&gt;"Расход",0,IF(H144&lt;&gt;"",E144*H144,IFERROR(IF(VLOOKUP(D144,Категории!$A$3:$F$27,4,FALSE)="",0,E144*VLOOKUP(D144,Категории!$A$3:$F$27,4,FALSE)),0)))</f>
        <v>0</v>
      </c>
      <c r="M144" s="30" t="str">
        <f>IF(A144="","",IF(NOT(ISNUMBER(A144)),"ДАТА; ","")&amp;IF(NOT(ISNUMBER(E144)),"СУММА; ","")&amp;IF(AND(B144&lt;&gt;"",D144&lt;&gt;"",IFERROR(VLOOKUP(D144,Категории!$A$3:$B$27,2,FALSE),"")&lt;&gt;B144),"ТИП/КАТЕГОРИЯ; ","")&amp;IF(AND(B144="Доход",G144=""),"НЕТ № КВИТАНЦИИ; ","")&amp;IF(AND(B144="Расход",H144="",IFERROR(VLOOKUP(D144,Категории!$A$3:$D$27,4,FALSE),"")=""),"УКАЖИТЕ ДОЛЮ; ","")&amp;IF(COUNTIFS($A$5:$A$504,A144,$B$5:$B$504,B144,$C$5:$C$504,C144,$E$5:$E$504,E144)&gt;1,"ВОЗМОЖНЫЙ ДУБЛЬ; ","")&amp;IF(AND(A144&lt;&gt;"",A145&lt;&gt;"",A144&lt;A145),"ПОРЯДОК ДАТ; ",""))</f>
        <v/>
      </c>
      <c r="N144" s="30" t="str">
        <f>IF(A144="","",IF(Настройки_2026!$B$6="ДЕМО",1,IF(I144="ДЕМО",0,1)))</f>
        <v/>
      </c>
    </row>
    <row r="145" spans="1:14" x14ac:dyDescent="0.25">
      <c r="A145" s="26"/>
      <c r="B145" s="27"/>
      <c r="C145" s="27"/>
      <c r="D145" s="27"/>
      <c r="E145" s="28"/>
      <c r="F145" s="27"/>
      <c r="G145" s="27"/>
      <c r="H145" s="29"/>
      <c r="I145" s="27"/>
      <c r="J145" s="27"/>
      <c r="K145" s="30" t="str">
        <f t="shared" si="2"/>
        <v/>
      </c>
      <c r="L145" s="31">
        <f>IF(B145&lt;&gt;"Расход",0,IF(H145&lt;&gt;"",E145*H145,IFERROR(IF(VLOOKUP(D145,Категории!$A$3:$F$27,4,FALSE)="",0,E145*VLOOKUP(D145,Категории!$A$3:$F$27,4,FALSE)),0)))</f>
        <v>0</v>
      </c>
      <c r="M145" s="30" t="str">
        <f>IF(A145="","",IF(NOT(ISNUMBER(A145)),"ДАТА; ","")&amp;IF(NOT(ISNUMBER(E145)),"СУММА; ","")&amp;IF(AND(B145&lt;&gt;"",D145&lt;&gt;"",IFERROR(VLOOKUP(D145,Категории!$A$3:$B$27,2,FALSE),"")&lt;&gt;B145),"ТИП/КАТЕГОРИЯ; ","")&amp;IF(AND(B145="Доход",G145=""),"НЕТ № КВИТАНЦИИ; ","")&amp;IF(AND(B145="Расход",H145="",IFERROR(VLOOKUP(D145,Категории!$A$3:$D$27,4,FALSE),"")=""),"УКАЖИТЕ ДОЛЮ; ","")&amp;IF(COUNTIFS($A$5:$A$504,A145,$B$5:$B$504,B145,$C$5:$C$504,C145,$E$5:$E$504,E145)&gt;1,"ВОЗМОЖНЫЙ ДУБЛЬ; ","")&amp;IF(AND(A145&lt;&gt;"",A146&lt;&gt;"",A145&lt;A146),"ПОРЯДОК ДАТ; ",""))</f>
        <v/>
      </c>
      <c r="N145" s="30" t="str">
        <f>IF(A145="","",IF(Настройки_2026!$B$6="ДЕМО",1,IF(I145="ДЕМО",0,1)))</f>
        <v/>
      </c>
    </row>
    <row r="146" spans="1:14" x14ac:dyDescent="0.25">
      <c r="A146" s="26"/>
      <c r="B146" s="27"/>
      <c r="C146" s="27"/>
      <c r="D146" s="27"/>
      <c r="E146" s="28"/>
      <c r="F146" s="27"/>
      <c r="G146" s="27"/>
      <c r="H146" s="29"/>
      <c r="I146" s="27"/>
      <c r="J146" s="27"/>
      <c r="K146" s="30" t="str">
        <f t="shared" si="2"/>
        <v/>
      </c>
      <c r="L146" s="31">
        <f>IF(B146&lt;&gt;"Расход",0,IF(H146&lt;&gt;"",E146*H146,IFERROR(IF(VLOOKUP(D146,Категории!$A$3:$F$27,4,FALSE)="",0,E146*VLOOKUP(D146,Категории!$A$3:$F$27,4,FALSE)),0)))</f>
        <v>0</v>
      </c>
      <c r="M146" s="30" t="str">
        <f>IF(A146="","",IF(NOT(ISNUMBER(A146)),"ДАТА; ","")&amp;IF(NOT(ISNUMBER(E146)),"СУММА; ","")&amp;IF(AND(B146&lt;&gt;"",D146&lt;&gt;"",IFERROR(VLOOKUP(D146,Категории!$A$3:$B$27,2,FALSE),"")&lt;&gt;B146),"ТИП/КАТЕГОРИЯ; ","")&amp;IF(AND(B146="Доход",G146=""),"НЕТ № КВИТАНЦИИ; ","")&amp;IF(AND(B146="Расход",H146="",IFERROR(VLOOKUP(D146,Категории!$A$3:$D$27,4,FALSE),"")=""),"УКАЖИТЕ ДОЛЮ; ","")&amp;IF(COUNTIFS($A$5:$A$504,A146,$B$5:$B$504,B146,$C$5:$C$504,C146,$E$5:$E$504,E146)&gt;1,"ВОЗМОЖНЫЙ ДУБЛЬ; ","")&amp;IF(AND(A146&lt;&gt;"",A147&lt;&gt;"",A146&lt;A147),"ПОРЯДОК ДАТ; ",""))</f>
        <v/>
      </c>
      <c r="N146" s="30" t="str">
        <f>IF(A146="","",IF(Настройки_2026!$B$6="ДЕМО",1,IF(I146="ДЕМО",0,1)))</f>
        <v/>
      </c>
    </row>
    <row r="147" spans="1:14" x14ac:dyDescent="0.25">
      <c r="A147" s="26"/>
      <c r="B147" s="27"/>
      <c r="C147" s="27"/>
      <c r="D147" s="27"/>
      <c r="E147" s="28"/>
      <c r="F147" s="27"/>
      <c r="G147" s="27"/>
      <c r="H147" s="29"/>
      <c r="I147" s="27"/>
      <c r="J147" s="27"/>
      <c r="K147" s="30" t="str">
        <f t="shared" si="2"/>
        <v/>
      </c>
      <c r="L147" s="31">
        <f>IF(B147&lt;&gt;"Расход",0,IF(H147&lt;&gt;"",E147*H147,IFERROR(IF(VLOOKUP(D147,Категории!$A$3:$F$27,4,FALSE)="",0,E147*VLOOKUP(D147,Категории!$A$3:$F$27,4,FALSE)),0)))</f>
        <v>0</v>
      </c>
      <c r="M147" s="30" t="str">
        <f>IF(A147="","",IF(NOT(ISNUMBER(A147)),"ДАТА; ","")&amp;IF(NOT(ISNUMBER(E147)),"СУММА; ","")&amp;IF(AND(B147&lt;&gt;"",D147&lt;&gt;"",IFERROR(VLOOKUP(D147,Категории!$A$3:$B$27,2,FALSE),"")&lt;&gt;B147),"ТИП/КАТЕГОРИЯ; ","")&amp;IF(AND(B147="Доход",G147=""),"НЕТ № КВИТАНЦИИ; ","")&amp;IF(AND(B147="Расход",H147="",IFERROR(VLOOKUP(D147,Категории!$A$3:$D$27,4,FALSE),"")=""),"УКАЖИТЕ ДОЛЮ; ","")&amp;IF(COUNTIFS($A$5:$A$504,A147,$B$5:$B$504,B147,$C$5:$C$504,C147,$E$5:$E$504,E147)&gt;1,"ВОЗМОЖНЫЙ ДУБЛЬ; ","")&amp;IF(AND(A147&lt;&gt;"",A148&lt;&gt;"",A147&lt;A148),"ПОРЯДОК ДАТ; ",""))</f>
        <v/>
      </c>
      <c r="N147" s="30" t="str">
        <f>IF(A147="","",IF(Настройки_2026!$B$6="ДЕМО",1,IF(I147="ДЕМО",0,1)))</f>
        <v/>
      </c>
    </row>
    <row r="148" spans="1:14" x14ac:dyDescent="0.25">
      <c r="A148" s="26"/>
      <c r="B148" s="27"/>
      <c r="C148" s="27"/>
      <c r="D148" s="27"/>
      <c r="E148" s="28"/>
      <c r="F148" s="27"/>
      <c r="G148" s="27"/>
      <c r="H148" s="29"/>
      <c r="I148" s="27"/>
      <c r="J148" s="27"/>
      <c r="K148" s="30" t="str">
        <f t="shared" si="2"/>
        <v/>
      </c>
      <c r="L148" s="31">
        <f>IF(B148&lt;&gt;"Расход",0,IF(H148&lt;&gt;"",E148*H148,IFERROR(IF(VLOOKUP(D148,Категории!$A$3:$F$27,4,FALSE)="",0,E148*VLOOKUP(D148,Категории!$A$3:$F$27,4,FALSE)),0)))</f>
        <v>0</v>
      </c>
      <c r="M148" s="30" t="str">
        <f>IF(A148="","",IF(NOT(ISNUMBER(A148)),"ДАТА; ","")&amp;IF(NOT(ISNUMBER(E148)),"СУММА; ","")&amp;IF(AND(B148&lt;&gt;"",D148&lt;&gt;"",IFERROR(VLOOKUP(D148,Категории!$A$3:$B$27,2,FALSE),"")&lt;&gt;B148),"ТИП/КАТЕГОРИЯ; ","")&amp;IF(AND(B148="Доход",G148=""),"НЕТ № КВИТАНЦИИ; ","")&amp;IF(AND(B148="Расход",H148="",IFERROR(VLOOKUP(D148,Категории!$A$3:$D$27,4,FALSE),"")=""),"УКАЖИТЕ ДОЛЮ; ","")&amp;IF(COUNTIFS($A$5:$A$504,A148,$B$5:$B$504,B148,$C$5:$C$504,C148,$E$5:$E$504,E148)&gt;1,"ВОЗМОЖНЫЙ ДУБЛЬ; ","")&amp;IF(AND(A148&lt;&gt;"",A149&lt;&gt;"",A148&lt;A149),"ПОРЯДОК ДАТ; ",""))</f>
        <v/>
      </c>
      <c r="N148" s="30" t="str">
        <f>IF(A148="","",IF(Настройки_2026!$B$6="ДЕМО",1,IF(I148="ДЕМО",0,1)))</f>
        <v/>
      </c>
    </row>
    <row r="149" spans="1:14" x14ac:dyDescent="0.25">
      <c r="A149" s="26"/>
      <c r="B149" s="27"/>
      <c r="C149" s="27"/>
      <c r="D149" s="27"/>
      <c r="E149" s="28"/>
      <c r="F149" s="27"/>
      <c r="G149" s="27"/>
      <c r="H149" s="29"/>
      <c r="I149" s="27"/>
      <c r="J149" s="27"/>
      <c r="K149" s="30" t="str">
        <f t="shared" si="2"/>
        <v/>
      </c>
      <c r="L149" s="31">
        <f>IF(B149&lt;&gt;"Расход",0,IF(H149&lt;&gt;"",E149*H149,IFERROR(IF(VLOOKUP(D149,Категории!$A$3:$F$27,4,FALSE)="",0,E149*VLOOKUP(D149,Категории!$A$3:$F$27,4,FALSE)),0)))</f>
        <v>0</v>
      </c>
      <c r="M149" s="30" t="str">
        <f>IF(A149="","",IF(NOT(ISNUMBER(A149)),"ДАТА; ","")&amp;IF(NOT(ISNUMBER(E149)),"СУММА; ","")&amp;IF(AND(B149&lt;&gt;"",D149&lt;&gt;"",IFERROR(VLOOKUP(D149,Категории!$A$3:$B$27,2,FALSE),"")&lt;&gt;B149),"ТИП/КАТЕГОРИЯ; ","")&amp;IF(AND(B149="Доход",G149=""),"НЕТ № КВИТАНЦИИ; ","")&amp;IF(AND(B149="Расход",H149="",IFERROR(VLOOKUP(D149,Категории!$A$3:$D$27,4,FALSE),"")=""),"УКАЖИТЕ ДОЛЮ; ","")&amp;IF(COUNTIFS($A$5:$A$504,A149,$B$5:$B$504,B149,$C$5:$C$504,C149,$E$5:$E$504,E149)&gt;1,"ВОЗМОЖНЫЙ ДУБЛЬ; ","")&amp;IF(AND(A149&lt;&gt;"",A150&lt;&gt;"",A149&lt;A150),"ПОРЯДОК ДАТ; ",""))</f>
        <v/>
      </c>
      <c r="N149" s="30" t="str">
        <f>IF(A149="","",IF(Настройки_2026!$B$6="ДЕМО",1,IF(I149="ДЕМО",0,1)))</f>
        <v/>
      </c>
    </row>
    <row r="150" spans="1:14" x14ac:dyDescent="0.25">
      <c r="A150" s="26"/>
      <c r="B150" s="27"/>
      <c r="C150" s="27"/>
      <c r="D150" s="27"/>
      <c r="E150" s="28"/>
      <c r="F150" s="27"/>
      <c r="G150" s="27"/>
      <c r="H150" s="29"/>
      <c r="I150" s="27"/>
      <c r="J150" s="27"/>
      <c r="K150" s="30" t="str">
        <f t="shared" si="2"/>
        <v/>
      </c>
      <c r="L150" s="31">
        <f>IF(B150&lt;&gt;"Расход",0,IF(H150&lt;&gt;"",E150*H150,IFERROR(IF(VLOOKUP(D150,Категории!$A$3:$F$27,4,FALSE)="",0,E150*VLOOKUP(D150,Категории!$A$3:$F$27,4,FALSE)),0)))</f>
        <v>0</v>
      </c>
      <c r="M150" s="30" t="str">
        <f>IF(A150="","",IF(NOT(ISNUMBER(A150)),"ДАТА; ","")&amp;IF(NOT(ISNUMBER(E150)),"СУММА; ","")&amp;IF(AND(B150&lt;&gt;"",D150&lt;&gt;"",IFERROR(VLOOKUP(D150,Категории!$A$3:$B$27,2,FALSE),"")&lt;&gt;B150),"ТИП/КАТЕГОРИЯ; ","")&amp;IF(AND(B150="Доход",G150=""),"НЕТ № КВИТАНЦИИ; ","")&amp;IF(AND(B150="Расход",H150="",IFERROR(VLOOKUP(D150,Категории!$A$3:$D$27,4,FALSE),"")=""),"УКАЖИТЕ ДОЛЮ; ","")&amp;IF(COUNTIFS($A$5:$A$504,A150,$B$5:$B$504,B150,$C$5:$C$504,C150,$E$5:$E$504,E150)&gt;1,"ВОЗМОЖНЫЙ ДУБЛЬ; ","")&amp;IF(AND(A150&lt;&gt;"",A151&lt;&gt;"",A150&lt;A151),"ПОРЯДОК ДАТ; ",""))</f>
        <v/>
      </c>
      <c r="N150" s="30" t="str">
        <f>IF(A150="","",IF(Настройки_2026!$B$6="ДЕМО",1,IF(I150="ДЕМО",0,1)))</f>
        <v/>
      </c>
    </row>
    <row r="151" spans="1:14" x14ac:dyDescent="0.25">
      <c r="A151" s="26"/>
      <c r="B151" s="27"/>
      <c r="C151" s="27"/>
      <c r="D151" s="27"/>
      <c r="E151" s="28"/>
      <c r="F151" s="27"/>
      <c r="G151" s="27"/>
      <c r="H151" s="29"/>
      <c r="I151" s="27"/>
      <c r="J151" s="27"/>
      <c r="K151" s="30" t="str">
        <f t="shared" si="2"/>
        <v/>
      </c>
      <c r="L151" s="31">
        <f>IF(B151&lt;&gt;"Расход",0,IF(H151&lt;&gt;"",E151*H151,IFERROR(IF(VLOOKUP(D151,Категории!$A$3:$F$27,4,FALSE)="",0,E151*VLOOKUP(D151,Категории!$A$3:$F$27,4,FALSE)),0)))</f>
        <v>0</v>
      </c>
      <c r="M151" s="30" t="str">
        <f>IF(A151="","",IF(NOT(ISNUMBER(A151)),"ДАТА; ","")&amp;IF(NOT(ISNUMBER(E151)),"СУММА; ","")&amp;IF(AND(B151&lt;&gt;"",D151&lt;&gt;"",IFERROR(VLOOKUP(D151,Категории!$A$3:$B$27,2,FALSE),"")&lt;&gt;B151),"ТИП/КАТЕГОРИЯ; ","")&amp;IF(AND(B151="Доход",G151=""),"НЕТ № КВИТАНЦИИ; ","")&amp;IF(AND(B151="Расход",H151="",IFERROR(VLOOKUP(D151,Категории!$A$3:$D$27,4,FALSE),"")=""),"УКАЖИТЕ ДОЛЮ; ","")&amp;IF(COUNTIFS($A$5:$A$504,A151,$B$5:$B$504,B151,$C$5:$C$504,C151,$E$5:$E$504,E151)&gt;1,"ВОЗМОЖНЫЙ ДУБЛЬ; ","")&amp;IF(AND(A151&lt;&gt;"",A152&lt;&gt;"",A151&lt;A152),"ПОРЯДОК ДАТ; ",""))</f>
        <v/>
      </c>
      <c r="N151" s="30" t="str">
        <f>IF(A151="","",IF(Настройки_2026!$B$6="ДЕМО",1,IF(I151="ДЕМО",0,1)))</f>
        <v/>
      </c>
    </row>
    <row r="152" spans="1:14" x14ac:dyDescent="0.25">
      <c r="A152" s="26"/>
      <c r="B152" s="27"/>
      <c r="C152" s="27"/>
      <c r="D152" s="27"/>
      <c r="E152" s="28"/>
      <c r="F152" s="27"/>
      <c r="G152" s="27"/>
      <c r="H152" s="29"/>
      <c r="I152" s="27"/>
      <c r="J152" s="27"/>
      <c r="K152" s="30" t="str">
        <f t="shared" si="2"/>
        <v/>
      </c>
      <c r="L152" s="31">
        <f>IF(B152&lt;&gt;"Расход",0,IF(H152&lt;&gt;"",E152*H152,IFERROR(IF(VLOOKUP(D152,Категории!$A$3:$F$27,4,FALSE)="",0,E152*VLOOKUP(D152,Категории!$A$3:$F$27,4,FALSE)),0)))</f>
        <v>0</v>
      </c>
      <c r="M152" s="30" t="str">
        <f>IF(A152="","",IF(NOT(ISNUMBER(A152)),"ДАТА; ","")&amp;IF(NOT(ISNUMBER(E152)),"СУММА; ","")&amp;IF(AND(B152&lt;&gt;"",D152&lt;&gt;"",IFERROR(VLOOKUP(D152,Категории!$A$3:$B$27,2,FALSE),"")&lt;&gt;B152),"ТИП/КАТЕГОРИЯ; ","")&amp;IF(AND(B152="Доход",G152=""),"НЕТ № КВИТАНЦИИ; ","")&amp;IF(AND(B152="Расход",H152="",IFERROR(VLOOKUP(D152,Категории!$A$3:$D$27,4,FALSE),"")=""),"УКАЖИТЕ ДОЛЮ; ","")&amp;IF(COUNTIFS($A$5:$A$504,A152,$B$5:$B$504,B152,$C$5:$C$504,C152,$E$5:$E$504,E152)&gt;1,"ВОЗМОЖНЫЙ ДУБЛЬ; ","")&amp;IF(AND(A152&lt;&gt;"",A153&lt;&gt;"",A152&lt;A153),"ПОРЯДОК ДАТ; ",""))</f>
        <v/>
      </c>
      <c r="N152" s="30" t="str">
        <f>IF(A152="","",IF(Настройки_2026!$B$6="ДЕМО",1,IF(I152="ДЕМО",0,1)))</f>
        <v/>
      </c>
    </row>
    <row r="153" spans="1:14" x14ac:dyDescent="0.25">
      <c r="A153" s="26"/>
      <c r="B153" s="27"/>
      <c r="C153" s="27"/>
      <c r="D153" s="27"/>
      <c r="E153" s="28"/>
      <c r="F153" s="27"/>
      <c r="G153" s="27"/>
      <c r="H153" s="29"/>
      <c r="I153" s="27"/>
      <c r="J153" s="27"/>
      <c r="K153" s="30" t="str">
        <f t="shared" si="2"/>
        <v/>
      </c>
      <c r="L153" s="31">
        <f>IF(B153&lt;&gt;"Расход",0,IF(H153&lt;&gt;"",E153*H153,IFERROR(IF(VLOOKUP(D153,Категории!$A$3:$F$27,4,FALSE)="",0,E153*VLOOKUP(D153,Категории!$A$3:$F$27,4,FALSE)),0)))</f>
        <v>0</v>
      </c>
      <c r="M153" s="30" t="str">
        <f>IF(A153="","",IF(NOT(ISNUMBER(A153)),"ДАТА; ","")&amp;IF(NOT(ISNUMBER(E153)),"СУММА; ","")&amp;IF(AND(B153&lt;&gt;"",D153&lt;&gt;"",IFERROR(VLOOKUP(D153,Категории!$A$3:$B$27,2,FALSE),"")&lt;&gt;B153),"ТИП/КАТЕГОРИЯ; ","")&amp;IF(AND(B153="Доход",G153=""),"НЕТ № КВИТАНЦИИ; ","")&amp;IF(AND(B153="Расход",H153="",IFERROR(VLOOKUP(D153,Категории!$A$3:$D$27,4,FALSE),"")=""),"УКАЖИТЕ ДОЛЮ; ","")&amp;IF(COUNTIFS($A$5:$A$504,A153,$B$5:$B$504,B153,$C$5:$C$504,C153,$E$5:$E$504,E153)&gt;1,"ВОЗМОЖНЫЙ ДУБЛЬ; ","")&amp;IF(AND(A153&lt;&gt;"",A154&lt;&gt;"",A153&lt;A154),"ПОРЯДОК ДАТ; ",""))</f>
        <v/>
      </c>
      <c r="N153" s="30" t="str">
        <f>IF(A153="","",IF(Настройки_2026!$B$6="ДЕМО",1,IF(I153="ДЕМО",0,1)))</f>
        <v/>
      </c>
    </row>
    <row r="154" spans="1:14" x14ac:dyDescent="0.25">
      <c r="A154" s="26"/>
      <c r="B154" s="27"/>
      <c r="C154" s="27"/>
      <c r="D154" s="27"/>
      <c r="E154" s="28"/>
      <c r="F154" s="27"/>
      <c r="G154" s="27"/>
      <c r="H154" s="29"/>
      <c r="I154" s="27"/>
      <c r="J154" s="27"/>
      <c r="K154" s="30" t="str">
        <f t="shared" si="2"/>
        <v/>
      </c>
      <c r="L154" s="31">
        <f>IF(B154&lt;&gt;"Расход",0,IF(H154&lt;&gt;"",E154*H154,IFERROR(IF(VLOOKUP(D154,Категории!$A$3:$F$27,4,FALSE)="",0,E154*VLOOKUP(D154,Категории!$A$3:$F$27,4,FALSE)),0)))</f>
        <v>0</v>
      </c>
      <c r="M154" s="30" t="str">
        <f>IF(A154="","",IF(NOT(ISNUMBER(A154)),"ДАТА; ","")&amp;IF(NOT(ISNUMBER(E154)),"СУММА; ","")&amp;IF(AND(B154&lt;&gt;"",D154&lt;&gt;"",IFERROR(VLOOKUP(D154,Категории!$A$3:$B$27,2,FALSE),"")&lt;&gt;B154),"ТИП/КАТЕГОРИЯ; ","")&amp;IF(AND(B154="Доход",G154=""),"НЕТ № КВИТАНЦИИ; ","")&amp;IF(AND(B154="Расход",H154="",IFERROR(VLOOKUP(D154,Категории!$A$3:$D$27,4,FALSE),"")=""),"УКАЖИТЕ ДОЛЮ; ","")&amp;IF(COUNTIFS($A$5:$A$504,A154,$B$5:$B$504,B154,$C$5:$C$504,C154,$E$5:$E$504,E154)&gt;1,"ВОЗМОЖНЫЙ ДУБЛЬ; ","")&amp;IF(AND(A154&lt;&gt;"",A155&lt;&gt;"",A154&lt;A155),"ПОРЯДОК ДАТ; ",""))</f>
        <v/>
      </c>
      <c r="N154" s="30" t="str">
        <f>IF(A154="","",IF(Настройки_2026!$B$6="ДЕМО",1,IF(I154="ДЕМО",0,1)))</f>
        <v/>
      </c>
    </row>
    <row r="155" spans="1:14" x14ac:dyDescent="0.25">
      <c r="A155" s="26"/>
      <c r="B155" s="27"/>
      <c r="C155" s="27"/>
      <c r="D155" s="27"/>
      <c r="E155" s="28"/>
      <c r="F155" s="27"/>
      <c r="G155" s="27"/>
      <c r="H155" s="29"/>
      <c r="I155" s="27"/>
      <c r="J155" s="27"/>
      <c r="K155" s="30" t="str">
        <f t="shared" si="2"/>
        <v/>
      </c>
      <c r="L155" s="31">
        <f>IF(B155&lt;&gt;"Расход",0,IF(H155&lt;&gt;"",E155*H155,IFERROR(IF(VLOOKUP(D155,Категории!$A$3:$F$27,4,FALSE)="",0,E155*VLOOKUP(D155,Категории!$A$3:$F$27,4,FALSE)),0)))</f>
        <v>0</v>
      </c>
      <c r="M155" s="30" t="str">
        <f>IF(A155="","",IF(NOT(ISNUMBER(A155)),"ДАТА; ","")&amp;IF(NOT(ISNUMBER(E155)),"СУММА; ","")&amp;IF(AND(B155&lt;&gt;"",D155&lt;&gt;"",IFERROR(VLOOKUP(D155,Категории!$A$3:$B$27,2,FALSE),"")&lt;&gt;B155),"ТИП/КАТЕГОРИЯ; ","")&amp;IF(AND(B155="Доход",G155=""),"НЕТ № КВИТАНЦИИ; ","")&amp;IF(AND(B155="Расход",H155="",IFERROR(VLOOKUP(D155,Категории!$A$3:$D$27,4,FALSE),"")=""),"УКАЖИТЕ ДОЛЮ; ","")&amp;IF(COUNTIFS($A$5:$A$504,A155,$B$5:$B$504,B155,$C$5:$C$504,C155,$E$5:$E$504,E155)&gt;1,"ВОЗМОЖНЫЙ ДУБЛЬ; ","")&amp;IF(AND(A155&lt;&gt;"",A156&lt;&gt;"",A155&lt;A156),"ПОРЯДОК ДАТ; ",""))</f>
        <v/>
      </c>
      <c r="N155" s="30" t="str">
        <f>IF(A155="","",IF(Настройки_2026!$B$6="ДЕМО",1,IF(I155="ДЕМО",0,1)))</f>
        <v/>
      </c>
    </row>
    <row r="156" spans="1:14" x14ac:dyDescent="0.25">
      <c r="A156" s="26"/>
      <c r="B156" s="27"/>
      <c r="C156" s="27"/>
      <c r="D156" s="27"/>
      <c r="E156" s="28"/>
      <c r="F156" s="27"/>
      <c r="G156" s="27"/>
      <c r="H156" s="29"/>
      <c r="I156" s="27"/>
      <c r="J156" s="27"/>
      <c r="K156" s="30" t="str">
        <f t="shared" si="2"/>
        <v/>
      </c>
      <c r="L156" s="31">
        <f>IF(B156&lt;&gt;"Расход",0,IF(H156&lt;&gt;"",E156*H156,IFERROR(IF(VLOOKUP(D156,Категории!$A$3:$F$27,4,FALSE)="",0,E156*VLOOKUP(D156,Категории!$A$3:$F$27,4,FALSE)),0)))</f>
        <v>0</v>
      </c>
      <c r="M156" s="30" t="str">
        <f>IF(A156="","",IF(NOT(ISNUMBER(A156)),"ДАТА; ","")&amp;IF(NOT(ISNUMBER(E156)),"СУММА; ","")&amp;IF(AND(B156&lt;&gt;"",D156&lt;&gt;"",IFERROR(VLOOKUP(D156,Категории!$A$3:$B$27,2,FALSE),"")&lt;&gt;B156),"ТИП/КАТЕГОРИЯ; ","")&amp;IF(AND(B156="Доход",G156=""),"НЕТ № КВИТАНЦИИ; ","")&amp;IF(AND(B156="Расход",H156="",IFERROR(VLOOKUP(D156,Категории!$A$3:$D$27,4,FALSE),"")=""),"УКАЖИТЕ ДОЛЮ; ","")&amp;IF(COUNTIFS($A$5:$A$504,A156,$B$5:$B$504,B156,$C$5:$C$504,C156,$E$5:$E$504,E156)&gt;1,"ВОЗМОЖНЫЙ ДУБЛЬ; ","")&amp;IF(AND(A156&lt;&gt;"",A157&lt;&gt;"",A156&lt;A157),"ПОРЯДОК ДАТ; ",""))</f>
        <v/>
      </c>
      <c r="N156" s="30" t="str">
        <f>IF(A156="","",IF(Настройки_2026!$B$6="ДЕМО",1,IF(I156="ДЕМО",0,1)))</f>
        <v/>
      </c>
    </row>
    <row r="157" spans="1:14" x14ac:dyDescent="0.25">
      <c r="A157" s="26"/>
      <c r="B157" s="27"/>
      <c r="C157" s="27"/>
      <c r="D157" s="27"/>
      <c r="E157" s="28"/>
      <c r="F157" s="27"/>
      <c r="G157" s="27"/>
      <c r="H157" s="29"/>
      <c r="I157" s="27"/>
      <c r="J157" s="27"/>
      <c r="K157" s="30" t="str">
        <f t="shared" si="2"/>
        <v/>
      </c>
      <c r="L157" s="31">
        <f>IF(B157&lt;&gt;"Расход",0,IF(H157&lt;&gt;"",E157*H157,IFERROR(IF(VLOOKUP(D157,Категории!$A$3:$F$27,4,FALSE)="",0,E157*VLOOKUP(D157,Категории!$A$3:$F$27,4,FALSE)),0)))</f>
        <v>0</v>
      </c>
      <c r="M157" s="30" t="str">
        <f>IF(A157="","",IF(NOT(ISNUMBER(A157)),"ДАТА; ","")&amp;IF(NOT(ISNUMBER(E157)),"СУММА; ","")&amp;IF(AND(B157&lt;&gt;"",D157&lt;&gt;"",IFERROR(VLOOKUP(D157,Категории!$A$3:$B$27,2,FALSE),"")&lt;&gt;B157),"ТИП/КАТЕГОРИЯ; ","")&amp;IF(AND(B157="Доход",G157=""),"НЕТ № КВИТАНЦИИ; ","")&amp;IF(AND(B157="Расход",H157="",IFERROR(VLOOKUP(D157,Категории!$A$3:$D$27,4,FALSE),"")=""),"УКАЖИТЕ ДОЛЮ; ","")&amp;IF(COUNTIFS($A$5:$A$504,A157,$B$5:$B$504,B157,$C$5:$C$504,C157,$E$5:$E$504,E157)&gt;1,"ВОЗМОЖНЫЙ ДУБЛЬ; ","")&amp;IF(AND(A157&lt;&gt;"",A158&lt;&gt;"",A157&lt;A158),"ПОРЯДОК ДАТ; ",""))</f>
        <v/>
      </c>
      <c r="N157" s="30" t="str">
        <f>IF(A157="","",IF(Настройки_2026!$B$6="ДЕМО",1,IF(I157="ДЕМО",0,1)))</f>
        <v/>
      </c>
    </row>
    <row r="158" spans="1:14" x14ac:dyDescent="0.25">
      <c r="A158" s="26"/>
      <c r="B158" s="27"/>
      <c r="C158" s="27"/>
      <c r="D158" s="27"/>
      <c r="E158" s="28"/>
      <c r="F158" s="27"/>
      <c r="G158" s="27"/>
      <c r="H158" s="29"/>
      <c r="I158" s="27"/>
      <c r="J158" s="27"/>
      <c r="K158" s="30" t="str">
        <f t="shared" si="2"/>
        <v/>
      </c>
      <c r="L158" s="31">
        <f>IF(B158&lt;&gt;"Расход",0,IF(H158&lt;&gt;"",E158*H158,IFERROR(IF(VLOOKUP(D158,Категории!$A$3:$F$27,4,FALSE)="",0,E158*VLOOKUP(D158,Категории!$A$3:$F$27,4,FALSE)),0)))</f>
        <v>0</v>
      </c>
      <c r="M158" s="30" t="str">
        <f>IF(A158="","",IF(NOT(ISNUMBER(A158)),"ДАТА; ","")&amp;IF(NOT(ISNUMBER(E158)),"СУММА; ","")&amp;IF(AND(B158&lt;&gt;"",D158&lt;&gt;"",IFERROR(VLOOKUP(D158,Категории!$A$3:$B$27,2,FALSE),"")&lt;&gt;B158),"ТИП/КАТЕГОРИЯ; ","")&amp;IF(AND(B158="Доход",G158=""),"НЕТ № КВИТАНЦИИ; ","")&amp;IF(AND(B158="Расход",H158="",IFERROR(VLOOKUP(D158,Категории!$A$3:$D$27,4,FALSE),"")=""),"УКАЖИТЕ ДОЛЮ; ","")&amp;IF(COUNTIFS($A$5:$A$504,A158,$B$5:$B$504,B158,$C$5:$C$504,C158,$E$5:$E$504,E158)&gt;1,"ВОЗМОЖНЫЙ ДУБЛЬ; ","")&amp;IF(AND(A158&lt;&gt;"",A159&lt;&gt;"",A158&lt;A159),"ПОРЯДОК ДАТ; ",""))</f>
        <v/>
      </c>
      <c r="N158" s="30" t="str">
        <f>IF(A158="","",IF(Настройки_2026!$B$6="ДЕМО",1,IF(I158="ДЕМО",0,1)))</f>
        <v/>
      </c>
    </row>
    <row r="159" spans="1:14" x14ac:dyDescent="0.25">
      <c r="A159" s="26"/>
      <c r="B159" s="27"/>
      <c r="C159" s="27"/>
      <c r="D159" s="27"/>
      <c r="E159" s="28"/>
      <c r="F159" s="27"/>
      <c r="G159" s="27"/>
      <c r="H159" s="29"/>
      <c r="I159" s="27"/>
      <c r="J159" s="27"/>
      <c r="K159" s="30" t="str">
        <f t="shared" si="2"/>
        <v/>
      </c>
      <c r="L159" s="31">
        <f>IF(B159&lt;&gt;"Расход",0,IF(H159&lt;&gt;"",E159*H159,IFERROR(IF(VLOOKUP(D159,Категории!$A$3:$F$27,4,FALSE)="",0,E159*VLOOKUP(D159,Категории!$A$3:$F$27,4,FALSE)),0)))</f>
        <v>0</v>
      </c>
      <c r="M159" s="30" t="str">
        <f>IF(A159="","",IF(NOT(ISNUMBER(A159)),"ДАТА; ","")&amp;IF(NOT(ISNUMBER(E159)),"СУММА; ","")&amp;IF(AND(B159&lt;&gt;"",D159&lt;&gt;"",IFERROR(VLOOKUP(D159,Категории!$A$3:$B$27,2,FALSE),"")&lt;&gt;B159),"ТИП/КАТЕГОРИЯ; ","")&amp;IF(AND(B159="Доход",G159=""),"НЕТ № КВИТАНЦИИ; ","")&amp;IF(AND(B159="Расход",H159="",IFERROR(VLOOKUP(D159,Категории!$A$3:$D$27,4,FALSE),"")=""),"УКАЖИТЕ ДОЛЮ; ","")&amp;IF(COUNTIFS($A$5:$A$504,A159,$B$5:$B$504,B159,$C$5:$C$504,C159,$E$5:$E$504,E159)&gt;1,"ВОЗМОЖНЫЙ ДУБЛЬ; ","")&amp;IF(AND(A159&lt;&gt;"",A160&lt;&gt;"",A159&lt;A160),"ПОРЯДОК ДАТ; ",""))</f>
        <v/>
      </c>
      <c r="N159" s="30" t="str">
        <f>IF(A159="","",IF(Настройки_2026!$B$6="ДЕМО",1,IF(I159="ДЕМО",0,1)))</f>
        <v/>
      </c>
    </row>
    <row r="160" spans="1:14" x14ac:dyDescent="0.25">
      <c r="A160" s="26"/>
      <c r="B160" s="27"/>
      <c r="C160" s="27"/>
      <c r="D160" s="27"/>
      <c r="E160" s="28"/>
      <c r="F160" s="27"/>
      <c r="G160" s="27"/>
      <c r="H160" s="29"/>
      <c r="I160" s="27"/>
      <c r="J160" s="27"/>
      <c r="K160" s="30" t="str">
        <f t="shared" si="2"/>
        <v/>
      </c>
      <c r="L160" s="31">
        <f>IF(B160&lt;&gt;"Расход",0,IF(H160&lt;&gt;"",E160*H160,IFERROR(IF(VLOOKUP(D160,Категории!$A$3:$F$27,4,FALSE)="",0,E160*VLOOKUP(D160,Категории!$A$3:$F$27,4,FALSE)),0)))</f>
        <v>0</v>
      </c>
      <c r="M160" s="30" t="str">
        <f>IF(A160="","",IF(NOT(ISNUMBER(A160)),"ДАТА; ","")&amp;IF(NOT(ISNUMBER(E160)),"СУММА; ","")&amp;IF(AND(B160&lt;&gt;"",D160&lt;&gt;"",IFERROR(VLOOKUP(D160,Категории!$A$3:$B$27,2,FALSE),"")&lt;&gt;B160),"ТИП/КАТЕГОРИЯ; ","")&amp;IF(AND(B160="Доход",G160=""),"НЕТ № КВИТАНЦИИ; ","")&amp;IF(AND(B160="Расход",H160="",IFERROR(VLOOKUP(D160,Категории!$A$3:$D$27,4,FALSE),"")=""),"УКАЖИТЕ ДОЛЮ; ","")&amp;IF(COUNTIFS($A$5:$A$504,A160,$B$5:$B$504,B160,$C$5:$C$504,C160,$E$5:$E$504,E160)&gt;1,"ВОЗМОЖНЫЙ ДУБЛЬ; ","")&amp;IF(AND(A160&lt;&gt;"",A161&lt;&gt;"",A160&lt;A161),"ПОРЯДОК ДАТ; ",""))</f>
        <v/>
      </c>
      <c r="N160" s="30" t="str">
        <f>IF(A160="","",IF(Настройки_2026!$B$6="ДЕМО",1,IF(I160="ДЕМО",0,1)))</f>
        <v/>
      </c>
    </row>
    <row r="161" spans="1:14" x14ac:dyDescent="0.25">
      <c r="A161" s="26"/>
      <c r="B161" s="27"/>
      <c r="C161" s="27"/>
      <c r="D161" s="27"/>
      <c r="E161" s="28"/>
      <c r="F161" s="27"/>
      <c r="G161" s="27"/>
      <c r="H161" s="29"/>
      <c r="I161" s="27"/>
      <c r="J161" s="27"/>
      <c r="K161" s="30" t="str">
        <f t="shared" si="2"/>
        <v/>
      </c>
      <c r="L161" s="31">
        <f>IF(B161&lt;&gt;"Расход",0,IF(H161&lt;&gt;"",E161*H161,IFERROR(IF(VLOOKUP(D161,Категории!$A$3:$F$27,4,FALSE)="",0,E161*VLOOKUP(D161,Категории!$A$3:$F$27,4,FALSE)),0)))</f>
        <v>0</v>
      </c>
      <c r="M161" s="30" t="str">
        <f>IF(A161="","",IF(NOT(ISNUMBER(A161)),"ДАТА; ","")&amp;IF(NOT(ISNUMBER(E161)),"СУММА; ","")&amp;IF(AND(B161&lt;&gt;"",D161&lt;&gt;"",IFERROR(VLOOKUP(D161,Категории!$A$3:$B$27,2,FALSE),"")&lt;&gt;B161),"ТИП/КАТЕГОРИЯ; ","")&amp;IF(AND(B161="Доход",G161=""),"НЕТ № КВИТАНЦИИ; ","")&amp;IF(AND(B161="Расход",H161="",IFERROR(VLOOKUP(D161,Категории!$A$3:$D$27,4,FALSE),"")=""),"УКАЖИТЕ ДОЛЮ; ","")&amp;IF(COUNTIFS($A$5:$A$504,A161,$B$5:$B$504,B161,$C$5:$C$504,C161,$E$5:$E$504,E161)&gt;1,"ВОЗМОЖНЫЙ ДУБЛЬ; ","")&amp;IF(AND(A161&lt;&gt;"",A162&lt;&gt;"",A161&lt;A162),"ПОРЯДОК ДАТ; ",""))</f>
        <v/>
      </c>
      <c r="N161" s="30" t="str">
        <f>IF(A161="","",IF(Настройки_2026!$B$6="ДЕМО",1,IF(I161="ДЕМО",0,1)))</f>
        <v/>
      </c>
    </row>
    <row r="162" spans="1:14" x14ac:dyDescent="0.25">
      <c r="A162" s="26"/>
      <c r="B162" s="27"/>
      <c r="C162" s="27"/>
      <c r="D162" s="27"/>
      <c r="E162" s="28"/>
      <c r="F162" s="27"/>
      <c r="G162" s="27"/>
      <c r="H162" s="29"/>
      <c r="I162" s="27"/>
      <c r="J162" s="27"/>
      <c r="K162" s="30" t="str">
        <f t="shared" si="2"/>
        <v/>
      </c>
      <c r="L162" s="31">
        <f>IF(B162&lt;&gt;"Расход",0,IF(H162&lt;&gt;"",E162*H162,IFERROR(IF(VLOOKUP(D162,Категории!$A$3:$F$27,4,FALSE)="",0,E162*VLOOKUP(D162,Категории!$A$3:$F$27,4,FALSE)),0)))</f>
        <v>0</v>
      </c>
      <c r="M162" s="30" t="str">
        <f>IF(A162="","",IF(NOT(ISNUMBER(A162)),"ДАТА; ","")&amp;IF(NOT(ISNUMBER(E162)),"СУММА; ","")&amp;IF(AND(B162&lt;&gt;"",D162&lt;&gt;"",IFERROR(VLOOKUP(D162,Категории!$A$3:$B$27,2,FALSE),"")&lt;&gt;B162),"ТИП/КАТЕГОРИЯ; ","")&amp;IF(AND(B162="Доход",G162=""),"НЕТ № КВИТАНЦИИ; ","")&amp;IF(AND(B162="Расход",H162="",IFERROR(VLOOKUP(D162,Категории!$A$3:$D$27,4,FALSE),"")=""),"УКАЖИТЕ ДОЛЮ; ","")&amp;IF(COUNTIFS($A$5:$A$504,A162,$B$5:$B$504,B162,$C$5:$C$504,C162,$E$5:$E$504,E162)&gt;1,"ВОЗМОЖНЫЙ ДУБЛЬ; ","")&amp;IF(AND(A162&lt;&gt;"",A163&lt;&gt;"",A162&lt;A163),"ПОРЯДОК ДАТ; ",""))</f>
        <v/>
      </c>
      <c r="N162" s="30" t="str">
        <f>IF(A162="","",IF(Настройки_2026!$B$6="ДЕМО",1,IF(I162="ДЕМО",0,1)))</f>
        <v/>
      </c>
    </row>
    <row r="163" spans="1:14" x14ac:dyDescent="0.25">
      <c r="A163" s="26"/>
      <c r="B163" s="27"/>
      <c r="C163" s="27"/>
      <c r="D163" s="27"/>
      <c r="E163" s="28"/>
      <c r="F163" s="27"/>
      <c r="G163" s="27"/>
      <c r="H163" s="29"/>
      <c r="I163" s="27"/>
      <c r="J163" s="27"/>
      <c r="K163" s="30" t="str">
        <f t="shared" si="2"/>
        <v/>
      </c>
      <c r="L163" s="31">
        <f>IF(B163&lt;&gt;"Расход",0,IF(H163&lt;&gt;"",E163*H163,IFERROR(IF(VLOOKUP(D163,Категории!$A$3:$F$27,4,FALSE)="",0,E163*VLOOKUP(D163,Категории!$A$3:$F$27,4,FALSE)),0)))</f>
        <v>0</v>
      </c>
      <c r="M163" s="30" t="str">
        <f>IF(A163="","",IF(NOT(ISNUMBER(A163)),"ДАТА; ","")&amp;IF(NOT(ISNUMBER(E163)),"СУММА; ","")&amp;IF(AND(B163&lt;&gt;"",D163&lt;&gt;"",IFERROR(VLOOKUP(D163,Категории!$A$3:$B$27,2,FALSE),"")&lt;&gt;B163),"ТИП/КАТЕГОРИЯ; ","")&amp;IF(AND(B163="Доход",G163=""),"НЕТ № КВИТАНЦИИ; ","")&amp;IF(AND(B163="Расход",H163="",IFERROR(VLOOKUP(D163,Категории!$A$3:$D$27,4,FALSE),"")=""),"УКАЖИТЕ ДОЛЮ; ","")&amp;IF(COUNTIFS($A$5:$A$504,A163,$B$5:$B$504,B163,$C$5:$C$504,C163,$E$5:$E$504,E163)&gt;1,"ВОЗМОЖНЫЙ ДУБЛЬ; ","")&amp;IF(AND(A163&lt;&gt;"",A164&lt;&gt;"",A163&lt;A164),"ПОРЯДОК ДАТ; ",""))</f>
        <v/>
      </c>
      <c r="N163" s="30" t="str">
        <f>IF(A163="","",IF(Настройки_2026!$B$6="ДЕМО",1,IF(I163="ДЕМО",0,1)))</f>
        <v/>
      </c>
    </row>
    <row r="164" spans="1:14" x14ac:dyDescent="0.25">
      <c r="A164" s="26"/>
      <c r="B164" s="27"/>
      <c r="C164" s="27"/>
      <c r="D164" s="27"/>
      <c r="E164" s="28"/>
      <c r="F164" s="27"/>
      <c r="G164" s="27"/>
      <c r="H164" s="29"/>
      <c r="I164" s="27"/>
      <c r="J164" s="27"/>
      <c r="K164" s="30" t="str">
        <f t="shared" si="2"/>
        <v/>
      </c>
      <c r="L164" s="31">
        <f>IF(B164&lt;&gt;"Расход",0,IF(H164&lt;&gt;"",E164*H164,IFERROR(IF(VLOOKUP(D164,Категории!$A$3:$F$27,4,FALSE)="",0,E164*VLOOKUP(D164,Категории!$A$3:$F$27,4,FALSE)),0)))</f>
        <v>0</v>
      </c>
      <c r="M164" s="30" t="str">
        <f>IF(A164="","",IF(NOT(ISNUMBER(A164)),"ДАТА; ","")&amp;IF(NOT(ISNUMBER(E164)),"СУММА; ","")&amp;IF(AND(B164&lt;&gt;"",D164&lt;&gt;"",IFERROR(VLOOKUP(D164,Категории!$A$3:$B$27,2,FALSE),"")&lt;&gt;B164),"ТИП/КАТЕГОРИЯ; ","")&amp;IF(AND(B164="Доход",G164=""),"НЕТ № КВИТАНЦИИ; ","")&amp;IF(AND(B164="Расход",H164="",IFERROR(VLOOKUP(D164,Категории!$A$3:$D$27,4,FALSE),"")=""),"УКАЖИТЕ ДОЛЮ; ","")&amp;IF(COUNTIFS($A$5:$A$504,A164,$B$5:$B$504,B164,$C$5:$C$504,C164,$E$5:$E$504,E164)&gt;1,"ВОЗМОЖНЫЙ ДУБЛЬ; ","")&amp;IF(AND(A164&lt;&gt;"",A165&lt;&gt;"",A164&lt;A165),"ПОРЯДОК ДАТ; ",""))</f>
        <v/>
      </c>
      <c r="N164" s="30" t="str">
        <f>IF(A164="","",IF(Настройки_2026!$B$6="ДЕМО",1,IF(I164="ДЕМО",0,1)))</f>
        <v/>
      </c>
    </row>
    <row r="165" spans="1:14" x14ac:dyDescent="0.25">
      <c r="A165" s="26"/>
      <c r="B165" s="27"/>
      <c r="C165" s="27"/>
      <c r="D165" s="27"/>
      <c r="E165" s="28"/>
      <c r="F165" s="27"/>
      <c r="G165" s="27"/>
      <c r="H165" s="29"/>
      <c r="I165" s="27"/>
      <c r="J165" s="27"/>
      <c r="K165" s="30" t="str">
        <f t="shared" si="2"/>
        <v/>
      </c>
      <c r="L165" s="31">
        <f>IF(B165&lt;&gt;"Расход",0,IF(H165&lt;&gt;"",E165*H165,IFERROR(IF(VLOOKUP(D165,Категории!$A$3:$F$27,4,FALSE)="",0,E165*VLOOKUP(D165,Категории!$A$3:$F$27,4,FALSE)),0)))</f>
        <v>0</v>
      </c>
      <c r="M165" s="30" t="str">
        <f>IF(A165="","",IF(NOT(ISNUMBER(A165)),"ДАТА; ","")&amp;IF(NOT(ISNUMBER(E165)),"СУММА; ","")&amp;IF(AND(B165&lt;&gt;"",D165&lt;&gt;"",IFERROR(VLOOKUP(D165,Категории!$A$3:$B$27,2,FALSE),"")&lt;&gt;B165),"ТИП/КАТЕГОРИЯ; ","")&amp;IF(AND(B165="Доход",G165=""),"НЕТ № КВИТАНЦИИ; ","")&amp;IF(AND(B165="Расход",H165="",IFERROR(VLOOKUP(D165,Категории!$A$3:$D$27,4,FALSE),"")=""),"УКАЖИТЕ ДОЛЮ; ","")&amp;IF(COUNTIFS($A$5:$A$504,A165,$B$5:$B$504,B165,$C$5:$C$504,C165,$E$5:$E$504,E165)&gt;1,"ВОЗМОЖНЫЙ ДУБЛЬ; ","")&amp;IF(AND(A165&lt;&gt;"",A166&lt;&gt;"",A165&lt;A166),"ПОРЯДОК ДАТ; ",""))</f>
        <v/>
      </c>
      <c r="N165" s="30" t="str">
        <f>IF(A165="","",IF(Настройки_2026!$B$6="ДЕМО",1,IF(I165="ДЕМО",0,1)))</f>
        <v/>
      </c>
    </row>
    <row r="166" spans="1:14" x14ac:dyDescent="0.25">
      <c r="A166" s="26"/>
      <c r="B166" s="27"/>
      <c r="C166" s="27"/>
      <c r="D166" s="27"/>
      <c r="E166" s="28"/>
      <c r="F166" s="27"/>
      <c r="G166" s="27"/>
      <c r="H166" s="29"/>
      <c r="I166" s="27"/>
      <c r="J166" s="27"/>
      <c r="K166" s="30" t="str">
        <f t="shared" si="2"/>
        <v/>
      </c>
      <c r="L166" s="31">
        <f>IF(B166&lt;&gt;"Расход",0,IF(H166&lt;&gt;"",E166*H166,IFERROR(IF(VLOOKUP(D166,Категории!$A$3:$F$27,4,FALSE)="",0,E166*VLOOKUP(D166,Категории!$A$3:$F$27,4,FALSE)),0)))</f>
        <v>0</v>
      </c>
      <c r="M166" s="30" t="str">
        <f>IF(A166="","",IF(NOT(ISNUMBER(A166)),"ДАТА; ","")&amp;IF(NOT(ISNUMBER(E166)),"СУММА; ","")&amp;IF(AND(B166&lt;&gt;"",D166&lt;&gt;"",IFERROR(VLOOKUP(D166,Категории!$A$3:$B$27,2,FALSE),"")&lt;&gt;B166),"ТИП/КАТЕГОРИЯ; ","")&amp;IF(AND(B166="Доход",G166=""),"НЕТ № КВИТАНЦИИ; ","")&amp;IF(AND(B166="Расход",H166="",IFERROR(VLOOKUP(D166,Категории!$A$3:$D$27,4,FALSE),"")=""),"УКАЖИТЕ ДОЛЮ; ","")&amp;IF(COUNTIFS($A$5:$A$504,A166,$B$5:$B$504,B166,$C$5:$C$504,C166,$E$5:$E$504,E166)&gt;1,"ВОЗМОЖНЫЙ ДУБЛЬ; ","")&amp;IF(AND(A166&lt;&gt;"",A167&lt;&gt;"",A166&lt;A167),"ПОРЯДОК ДАТ; ",""))</f>
        <v/>
      </c>
      <c r="N166" s="30" t="str">
        <f>IF(A166="","",IF(Настройки_2026!$B$6="ДЕМО",1,IF(I166="ДЕМО",0,1)))</f>
        <v/>
      </c>
    </row>
    <row r="167" spans="1:14" x14ac:dyDescent="0.25">
      <c r="A167" s="26"/>
      <c r="B167" s="27"/>
      <c r="C167" s="27"/>
      <c r="D167" s="27"/>
      <c r="E167" s="28"/>
      <c r="F167" s="27"/>
      <c r="G167" s="27"/>
      <c r="H167" s="29"/>
      <c r="I167" s="27"/>
      <c r="J167" s="27"/>
      <c r="K167" s="30" t="str">
        <f t="shared" si="2"/>
        <v/>
      </c>
      <c r="L167" s="31">
        <f>IF(B167&lt;&gt;"Расход",0,IF(H167&lt;&gt;"",E167*H167,IFERROR(IF(VLOOKUP(D167,Категории!$A$3:$F$27,4,FALSE)="",0,E167*VLOOKUP(D167,Категории!$A$3:$F$27,4,FALSE)),0)))</f>
        <v>0</v>
      </c>
      <c r="M167" s="30" t="str">
        <f>IF(A167="","",IF(NOT(ISNUMBER(A167)),"ДАТА; ","")&amp;IF(NOT(ISNUMBER(E167)),"СУММА; ","")&amp;IF(AND(B167&lt;&gt;"",D167&lt;&gt;"",IFERROR(VLOOKUP(D167,Категории!$A$3:$B$27,2,FALSE),"")&lt;&gt;B167),"ТИП/КАТЕГОРИЯ; ","")&amp;IF(AND(B167="Доход",G167=""),"НЕТ № КВИТАНЦИИ; ","")&amp;IF(AND(B167="Расход",H167="",IFERROR(VLOOKUP(D167,Категории!$A$3:$D$27,4,FALSE),"")=""),"УКАЖИТЕ ДОЛЮ; ","")&amp;IF(COUNTIFS($A$5:$A$504,A167,$B$5:$B$504,B167,$C$5:$C$504,C167,$E$5:$E$504,E167)&gt;1,"ВОЗМОЖНЫЙ ДУБЛЬ; ","")&amp;IF(AND(A167&lt;&gt;"",A168&lt;&gt;"",A167&lt;A168),"ПОРЯДОК ДАТ; ",""))</f>
        <v/>
      </c>
      <c r="N167" s="30" t="str">
        <f>IF(A167="","",IF(Настройки_2026!$B$6="ДЕМО",1,IF(I167="ДЕМО",0,1)))</f>
        <v/>
      </c>
    </row>
    <row r="168" spans="1:14" x14ac:dyDescent="0.25">
      <c r="A168" s="26"/>
      <c r="B168" s="27"/>
      <c r="C168" s="27"/>
      <c r="D168" s="27"/>
      <c r="E168" s="28"/>
      <c r="F168" s="27"/>
      <c r="G168" s="27"/>
      <c r="H168" s="29"/>
      <c r="I168" s="27"/>
      <c r="J168" s="27"/>
      <c r="K168" s="30" t="str">
        <f t="shared" si="2"/>
        <v/>
      </c>
      <c r="L168" s="31">
        <f>IF(B168&lt;&gt;"Расход",0,IF(H168&lt;&gt;"",E168*H168,IFERROR(IF(VLOOKUP(D168,Категории!$A$3:$F$27,4,FALSE)="",0,E168*VLOOKUP(D168,Категории!$A$3:$F$27,4,FALSE)),0)))</f>
        <v>0</v>
      </c>
      <c r="M168" s="30" t="str">
        <f>IF(A168="","",IF(NOT(ISNUMBER(A168)),"ДАТА; ","")&amp;IF(NOT(ISNUMBER(E168)),"СУММА; ","")&amp;IF(AND(B168&lt;&gt;"",D168&lt;&gt;"",IFERROR(VLOOKUP(D168,Категории!$A$3:$B$27,2,FALSE),"")&lt;&gt;B168),"ТИП/КАТЕГОРИЯ; ","")&amp;IF(AND(B168="Доход",G168=""),"НЕТ № КВИТАНЦИИ; ","")&amp;IF(AND(B168="Расход",H168="",IFERROR(VLOOKUP(D168,Категории!$A$3:$D$27,4,FALSE),"")=""),"УКАЖИТЕ ДОЛЮ; ","")&amp;IF(COUNTIFS($A$5:$A$504,A168,$B$5:$B$504,B168,$C$5:$C$504,C168,$E$5:$E$504,E168)&gt;1,"ВОЗМОЖНЫЙ ДУБЛЬ; ","")&amp;IF(AND(A168&lt;&gt;"",A169&lt;&gt;"",A168&lt;A169),"ПОРЯДОК ДАТ; ",""))</f>
        <v/>
      </c>
      <c r="N168" s="30" t="str">
        <f>IF(A168="","",IF(Настройки_2026!$B$6="ДЕМО",1,IF(I168="ДЕМО",0,1)))</f>
        <v/>
      </c>
    </row>
    <row r="169" spans="1:14" x14ac:dyDescent="0.25">
      <c r="A169" s="26"/>
      <c r="B169" s="27"/>
      <c r="C169" s="27"/>
      <c r="D169" s="27"/>
      <c r="E169" s="28"/>
      <c r="F169" s="27"/>
      <c r="G169" s="27"/>
      <c r="H169" s="29"/>
      <c r="I169" s="27"/>
      <c r="J169" s="27"/>
      <c r="K169" s="30" t="str">
        <f t="shared" si="2"/>
        <v/>
      </c>
      <c r="L169" s="31">
        <f>IF(B169&lt;&gt;"Расход",0,IF(H169&lt;&gt;"",E169*H169,IFERROR(IF(VLOOKUP(D169,Категории!$A$3:$F$27,4,FALSE)="",0,E169*VLOOKUP(D169,Категории!$A$3:$F$27,4,FALSE)),0)))</f>
        <v>0</v>
      </c>
      <c r="M169" s="30" t="str">
        <f>IF(A169="","",IF(NOT(ISNUMBER(A169)),"ДАТА; ","")&amp;IF(NOT(ISNUMBER(E169)),"СУММА; ","")&amp;IF(AND(B169&lt;&gt;"",D169&lt;&gt;"",IFERROR(VLOOKUP(D169,Категории!$A$3:$B$27,2,FALSE),"")&lt;&gt;B169),"ТИП/КАТЕГОРИЯ; ","")&amp;IF(AND(B169="Доход",G169=""),"НЕТ № КВИТАНЦИИ; ","")&amp;IF(AND(B169="Расход",H169="",IFERROR(VLOOKUP(D169,Категории!$A$3:$D$27,4,FALSE),"")=""),"УКАЖИТЕ ДОЛЮ; ","")&amp;IF(COUNTIFS($A$5:$A$504,A169,$B$5:$B$504,B169,$C$5:$C$504,C169,$E$5:$E$504,E169)&gt;1,"ВОЗМОЖНЫЙ ДУБЛЬ; ","")&amp;IF(AND(A169&lt;&gt;"",A170&lt;&gt;"",A169&lt;A170),"ПОРЯДОК ДАТ; ",""))</f>
        <v/>
      </c>
      <c r="N169" s="30" t="str">
        <f>IF(A169="","",IF(Настройки_2026!$B$6="ДЕМО",1,IF(I169="ДЕМО",0,1)))</f>
        <v/>
      </c>
    </row>
    <row r="170" spans="1:14" x14ac:dyDescent="0.25">
      <c r="A170" s="26"/>
      <c r="B170" s="27"/>
      <c r="C170" s="27"/>
      <c r="D170" s="27"/>
      <c r="E170" s="28"/>
      <c r="F170" s="27"/>
      <c r="G170" s="27"/>
      <c r="H170" s="29"/>
      <c r="I170" s="27"/>
      <c r="J170" s="27"/>
      <c r="K170" s="30" t="str">
        <f t="shared" si="2"/>
        <v/>
      </c>
      <c r="L170" s="31">
        <f>IF(B170&lt;&gt;"Расход",0,IF(H170&lt;&gt;"",E170*H170,IFERROR(IF(VLOOKUP(D170,Категории!$A$3:$F$27,4,FALSE)="",0,E170*VLOOKUP(D170,Категории!$A$3:$F$27,4,FALSE)),0)))</f>
        <v>0</v>
      </c>
      <c r="M170" s="30" t="str">
        <f>IF(A170="","",IF(NOT(ISNUMBER(A170)),"ДАТА; ","")&amp;IF(NOT(ISNUMBER(E170)),"СУММА; ","")&amp;IF(AND(B170&lt;&gt;"",D170&lt;&gt;"",IFERROR(VLOOKUP(D170,Категории!$A$3:$B$27,2,FALSE),"")&lt;&gt;B170),"ТИП/КАТЕГОРИЯ; ","")&amp;IF(AND(B170="Доход",G170=""),"НЕТ № КВИТАНЦИИ; ","")&amp;IF(AND(B170="Расход",H170="",IFERROR(VLOOKUP(D170,Категории!$A$3:$D$27,4,FALSE),"")=""),"УКАЖИТЕ ДОЛЮ; ","")&amp;IF(COUNTIFS($A$5:$A$504,A170,$B$5:$B$504,B170,$C$5:$C$504,C170,$E$5:$E$504,E170)&gt;1,"ВОЗМОЖНЫЙ ДУБЛЬ; ","")&amp;IF(AND(A170&lt;&gt;"",A171&lt;&gt;"",A170&lt;A171),"ПОРЯДОК ДАТ; ",""))</f>
        <v/>
      </c>
      <c r="N170" s="30" t="str">
        <f>IF(A170="","",IF(Настройки_2026!$B$6="ДЕМО",1,IF(I170="ДЕМО",0,1)))</f>
        <v/>
      </c>
    </row>
    <row r="171" spans="1:14" x14ac:dyDescent="0.25">
      <c r="A171" s="26"/>
      <c r="B171" s="27"/>
      <c r="C171" s="27"/>
      <c r="D171" s="27"/>
      <c r="E171" s="28"/>
      <c r="F171" s="27"/>
      <c r="G171" s="27"/>
      <c r="H171" s="29"/>
      <c r="I171" s="27"/>
      <c r="J171" s="27"/>
      <c r="K171" s="30" t="str">
        <f t="shared" si="2"/>
        <v/>
      </c>
      <c r="L171" s="31">
        <f>IF(B171&lt;&gt;"Расход",0,IF(H171&lt;&gt;"",E171*H171,IFERROR(IF(VLOOKUP(D171,Категории!$A$3:$F$27,4,FALSE)="",0,E171*VLOOKUP(D171,Категории!$A$3:$F$27,4,FALSE)),0)))</f>
        <v>0</v>
      </c>
      <c r="M171" s="30" t="str">
        <f>IF(A171="","",IF(NOT(ISNUMBER(A171)),"ДАТА; ","")&amp;IF(NOT(ISNUMBER(E171)),"СУММА; ","")&amp;IF(AND(B171&lt;&gt;"",D171&lt;&gt;"",IFERROR(VLOOKUP(D171,Категории!$A$3:$B$27,2,FALSE),"")&lt;&gt;B171),"ТИП/КАТЕГОРИЯ; ","")&amp;IF(AND(B171="Доход",G171=""),"НЕТ № КВИТАНЦИИ; ","")&amp;IF(AND(B171="Расход",H171="",IFERROR(VLOOKUP(D171,Категории!$A$3:$D$27,4,FALSE),"")=""),"УКАЖИТЕ ДОЛЮ; ","")&amp;IF(COUNTIFS($A$5:$A$504,A171,$B$5:$B$504,B171,$C$5:$C$504,C171,$E$5:$E$504,E171)&gt;1,"ВОЗМОЖНЫЙ ДУБЛЬ; ","")&amp;IF(AND(A171&lt;&gt;"",A172&lt;&gt;"",A171&lt;A172),"ПОРЯДОК ДАТ; ",""))</f>
        <v/>
      </c>
      <c r="N171" s="30" t="str">
        <f>IF(A171="","",IF(Настройки_2026!$B$6="ДЕМО",1,IF(I171="ДЕМО",0,1)))</f>
        <v/>
      </c>
    </row>
    <row r="172" spans="1:14" x14ac:dyDescent="0.25">
      <c r="A172" s="26"/>
      <c r="B172" s="27"/>
      <c r="C172" s="27"/>
      <c r="D172" s="27"/>
      <c r="E172" s="28"/>
      <c r="F172" s="27"/>
      <c r="G172" s="27"/>
      <c r="H172" s="29"/>
      <c r="I172" s="27"/>
      <c r="J172" s="27"/>
      <c r="K172" s="30" t="str">
        <f t="shared" si="2"/>
        <v/>
      </c>
      <c r="L172" s="31">
        <f>IF(B172&lt;&gt;"Расход",0,IF(H172&lt;&gt;"",E172*H172,IFERROR(IF(VLOOKUP(D172,Категории!$A$3:$F$27,4,FALSE)="",0,E172*VLOOKUP(D172,Категории!$A$3:$F$27,4,FALSE)),0)))</f>
        <v>0</v>
      </c>
      <c r="M172" s="30" t="str">
        <f>IF(A172="","",IF(NOT(ISNUMBER(A172)),"ДАТА; ","")&amp;IF(NOT(ISNUMBER(E172)),"СУММА; ","")&amp;IF(AND(B172&lt;&gt;"",D172&lt;&gt;"",IFERROR(VLOOKUP(D172,Категории!$A$3:$B$27,2,FALSE),"")&lt;&gt;B172),"ТИП/КАТЕГОРИЯ; ","")&amp;IF(AND(B172="Доход",G172=""),"НЕТ № КВИТАНЦИИ; ","")&amp;IF(AND(B172="Расход",H172="",IFERROR(VLOOKUP(D172,Категории!$A$3:$D$27,4,FALSE),"")=""),"УКАЖИТЕ ДОЛЮ; ","")&amp;IF(COUNTIFS($A$5:$A$504,A172,$B$5:$B$504,B172,$C$5:$C$504,C172,$E$5:$E$504,E172)&gt;1,"ВОЗМОЖНЫЙ ДУБЛЬ; ","")&amp;IF(AND(A172&lt;&gt;"",A173&lt;&gt;"",A172&lt;A173),"ПОРЯДОК ДАТ; ",""))</f>
        <v/>
      </c>
      <c r="N172" s="30" t="str">
        <f>IF(A172="","",IF(Настройки_2026!$B$6="ДЕМО",1,IF(I172="ДЕМО",0,1)))</f>
        <v/>
      </c>
    </row>
    <row r="173" spans="1:14" x14ac:dyDescent="0.25">
      <c r="A173" s="26"/>
      <c r="B173" s="27"/>
      <c r="C173" s="27"/>
      <c r="D173" s="27"/>
      <c r="E173" s="28"/>
      <c r="F173" s="27"/>
      <c r="G173" s="27"/>
      <c r="H173" s="29"/>
      <c r="I173" s="27"/>
      <c r="J173" s="27"/>
      <c r="K173" s="30" t="str">
        <f t="shared" si="2"/>
        <v/>
      </c>
      <c r="L173" s="31">
        <f>IF(B173&lt;&gt;"Расход",0,IF(H173&lt;&gt;"",E173*H173,IFERROR(IF(VLOOKUP(D173,Категории!$A$3:$F$27,4,FALSE)="",0,E173*VLOOKUP(D173,Категории!$A$3:$F$27,4,FALSE)),0)))</f>
        <v>0</v>
      </c>
      <c r="M173" s="30" t="str">
        <f>IF(A173="","",IF(NOT(ISNUMBER(A173)),"ДАТА; ","")&amp;IF(NOT(ISNUMBER(E173)),"СУММА; ","")&amp;IF(AND(B173&lt;&gt;"",D173&lt;&gt;"",IFERROR(VLOOKUP(D173,Категории!$A$3:$B$27,2,FALSE),"")&lt;&gt;B173),"ТИП/КАТЕГОРИЯ; ","")&amp;IF(AND(B173="Доход",G173=""),"НЕТ № КВИТАНЦИИ; ","")&amp;IF(AND(B173="Расход",H173="",IFERROR(VLOOKUP(D173,Категории!$A$3:$D$27,4,FALSE),"")=""),"УКАЖИТЕ ДОЛЮ; ","")&amp;IF(COUNTIFS($A$5:$A$504,A173,$B$5:$B$504,B173,$C$5:$C$504,C173,$E$5:$E$504,E173)&gt;1,"ВОЗМОЖНЫЙ ДУБЛЬ; ","")&amp;IF(AND(A173&lt;&gt;"",A174&lt;&gt;"",A173&lt;A174),"ПОРЯДОК ДАТ; ",""))</f>
        <v/>
      </c>
      <c r="N173" s="30" t="str">
        <f>IF(A173="","",IF(Настройки_2026!$B$6="ДЕМО",1,IF(I173="ДЕМО",0,1)))</f>
        <v/>
      </c>
    </row>
    <row r="174" spans="1:14" x14ac:dyDescent="0.25">
      <c r="A174" s="26"/>
      <c r="B174" s="27"/>
      <c r="C174" s="27"/>
      <c r="D174" s="27"/>
      <c r="E174" s="28"/>
      <c r="F174" s="27"/>
      <c r="G174" s="27"/>
      <c r="H174" s="29"/>
      <c r="I174" s="27"/>
      <c r="J174" s="27"/>
      <c r="K174" s="30" t="str">
        <f t="shared" si="2"/>
        <v/>
      </c>
      <c r="L174" s="31">
        <f>IF(B174&lt;&gt;"Расход",0,IF(H174&lt;&gt;"",E174*H174,IFERROR(IF(VLOOKUP(D174,Категории!$A$3:$F$27,4,FALSE)="",0,E174*VLOOKUP(D174,Категории!$A$3:$F$27,4,FALSE)),0)))</f>
        <v>0</v>
      </c>
      <c r="M174" s="30" t="str">
        <f>IF(A174="","",IF(NOT(ISNUMBER(A174)),"ДАТА; ","")&amp;IF(NOT(ISNUMBER(E174)),"СУММА; ","")&amp;IF(AND(B174&lt;&gt;"",D174&lt;&gt;"",IFERROR(VLOOKUP(D174,Категории!$A$3:$B$27,2,FALSE),"")&lt;&gt;B174),"ТИП/КАТЕГОРИЯ; ","")&amp;IF(AND(B174="Доход",G174=""),"НЕТ № КВИТАНЦИИ; ","")&amp;IF(AND(B174="Расход",H174="",IFERROR(VLOOKUP(D174,Категории!$A$3:$D$27,4,FALSE),"")=""),"УКАЖИТЕ ДОЛЮ; ","")&amp;IF(COUNTIFS($A$5:$A$504,A174,$B$5:$B$504,B174,$C$5:$C$504,C174,$E$5:$E$504,E174)&gt;1,"ВОЗМОЖНЫЙ ДУБЛЬ; ","")&amp;IF(AND(A174&lt;&gt;"",A175&lt;&gt;"",A174&lt;A175),"ПОРЯДОК ДАТ; ",""))</f>
        <v/>
      </c>
      <c r="N174" s="30" t="str">
        <f>IF(A174="","",IF(Настройки_2026!$B$6="ДЕМО",1,IF(I174="ДЕМО",0,1)))</f>
        <v/>
      </c>
    </row>
    <row r="175" spans="1:14" x14ac:dyDescent="0.25">
      <c r="A175" s="26"/>
      <c r="B175" s="27"/>
      <c r="C175" s="27"/>
      <c r="D175" s="27"/>
      <c r="E175" s="28"/>
      <c r="F175" s="27"/>
      <c r="G175" s="27"/>
      <c r="H175" s="29"/>
      <c r="I175" s="27"/>
      <c r="J175" s="27"/>
      <c r="K175" s="30" t="str">
        <f t="shared" si="2"/>
        <v/>
      </c>
      <c r="L175" s="31">
        <f>IF(B175&lt;&gt;"Расход",0,IF(H175&lt;&gt;"",E175*H175,IFERROR(IF(VLOOKUP(D175,Категории!$A$3:$F$27,4,FALSE)="",0,E175*VLOOKUP(D175,Категории!$A$3:$F$27,4,FALSE)),0)))</f>
        <v>0</v>
      </c>
      <c r="M175" s="30" t="str">
        <f>IF(A175="","",IF(NOT(ISNUMBER(A175)),"ДАТА; ","")&amp;IF(NOT(ISNUMBER(E175)),"СУММА; ","")&amp;IF(AND(B175&lt;&gt;"",D175&lt;&gt;"",IFERROR(VLOOKUP(D175,Категории!$A$3:$B$27,2,FALSE),"")&lt;&gt;B175),"ТИП/КАТЕГОРИЯ; ","")&amp;IF(AND(B175="Доход",G175=""),"НЕТ № КВИТАНЦИИ; ","")&amp;IF(AND(B175="Расход",H175="",IFERROR(VLOOKUP(D175,Категории!$A$3:$D$27,4,FALSE),"")=""),"УКАЖИТЕ ДОЛЮ; ","")&amp;IF(COUNTIFS($A$5:$A$504,A175,$B$5:$B$504,B175,$C$5:$C$504,C175,$E$5:$E$504,E175)&gt;1,"ВОЗМОЖНЫЙ ДУБЛЬ; ","")&amp;IF(AND(A175&lt;&gt;"",A176&lt;&gt;"",A175&lt;A176),"ПОРЯДОК ДАТ; ",""))</f>
        <v/>
      </c>
      <c r="N175" s="30" t="str">
        <f>IF(A175="","",IF(Настройки_2026!$B$6="ДЕМО",1,IF(I175="ДЕМО",0,1)))</f>
        <v/>
      </c>
    </row>
    <row r="176" spans="1:14" x14ac:dyDescent="0.25">
      <c r="A176" s="26"/>
      <c r="B176" s="27"/>
      <c r="C176" s="27"/>
      <c r="D176" s="27"/>
      <c r="E176" s="28"/>
      <c r="F176" s="27"/>
      <c r="G176" s="27"/>
      <c r="H176" s="29"/>
      <c r="I176" s="27"/>
      <c r="J176" s="27"/>
      <c r="K176" s="30" t="str">
        <f t="shared" si="2"/>
        <v/>
      </c>
      <c r="L176" s="31">
        <f>IF(B176&lt;&gt;"Расход",0,IF(H176&lt;&gt;"",E176*H176,IFERROR(IF(VLOOKUP(D176,Категории!$A$3:$F$27,4,FALSE)="",0,E176*VLOOKUP(D176,Категории!$A$3:$F$27,4,FALSE)),0)))</f>
        <v>0</v>
      </c>
      <c r="M176" s="30" t="str">
        <f>IF(A176="","",IF(NOT(ISNUMBER(A176)),"ДАТА; ","")&amp;IF(NOT(ISNUMBER(E176)),"СУММА; ","")&amp;IF(AND(B176&lt;&gt;"",D176&lt;&gt;"",IFERROR(VLOOKUP(D176,Категории!$A$3:$B$27,2,FALSE),"")&lt;&gt;B176),"ТИП/КАТЕГОРИЯ; ","")&amp;IF(AND(B176="Доход",G176=""),"НЕТ № КВИТАНЦИИ; ","")&amp;IF(AND(B176="Расход",H176="",IFERROR(VLOOKUP(D176,Категории!$A$3:$D$27,4,FALSE),"")=""),"УКАЖИТЕ ДОЛЮ; ","")&amp;IF(COUNTIFS($A$5:$A$504,A176,$B$5:$B$504,B176,$C$5:$C$504,C176,$E$5:$E$504,E176)&gt;1,"ВОЗМОЖНЫЙ ДУБЛЬ; ","")&amp;IF(AND(A176&lt;&gt;"",A177&lt;&gt;"",A176&lt;A177),"ПОРЯДОК ДАТ; ",""))</f>
        <v/>
      </c>
      <c r="N176" s="30" t="str">
        <f>IF(A176="","",IF(Настройки_2026!$B$6="ДЕМО",1,IF(I176="ДЕМО",0,1)))</f>
        <v/>
      </c>
    </row>
    <row r="177" spans="1:14" x14ac:dyDescent="0.25">
      <c r="A177" s="26"/>
      <c r="B177" s="27"/>
      <c r="C177" s="27"/>
      <c r="D177" s="27"/>
      <c r="E177" s="28"/>
      <c r="F177" s="27"/>
      <c r="G177" s="27"/>
      <c r="H177" s="29"/>
      <c r="I177" s="27"/>
      <c r="J177" s="27"/>
      <c r="K177" s="30" t="str">
        <f t="shared" si="2"/>
        <v/>
      </c>
      <c r="L177" s="31">
        <f>IF(B177&lt;&gt;"Расход",0,IF(H177&lt;&gt;"",E177*H177,IFERROR(IF(VLOOKUP(D177,Категории!$A$3:$F$27,4,FALSE)="",0,E177*VLOOKUP(D177,Категории!$A$3:$F$27,4,FALSE)),0)))</f>
        <v>0</v>
      </c>
      <c r="M177" s="30" t="str">
        <f>IF(A177="","",IF(NOT(ISNUMBER(A177)),"ДАТА; ","")&amp;IF(NOT(ISNUMBER(E177)),"СУММА; ","")&amp;IF(AND(B177&lt;&gt;"",D177&lt;&gt;"",IFERROR(VLOOKUP(D177,Категории!$A$3:$B$27,2,FALSE),"")&lt;&gt;B177),"ТИП/КАТЕГОРИЯ; ","")&amp;IF(AND(B177="Доход",G177=""),"НЕТ № КВИТАНЦИИ; ","")&amp;IF(AND(B177="Расход",H177="",IFERROR(VLOOKUP(D177,Категории!$A$3:$D$27,4,FALSE),"")=""),"УКАЖИТЕ ДОЛЮ; ","")&amp;IF(COUNTIFS($A$5:$A$504,A177,$B$5:$B$504,B177,$C$5:$C$504,C177,$E$5:$E$504,E177)&gt;1,"ВОЗМОЖНЫЙ ДУБЛЬ; ","")&amp;IF(AND(A177&lt;&gt;"",A178&lt;&gt;"",A177&lt;A178),"ПОРЯДОК ДАТ; ",""))</f>
        <v/>
      </c>
      <c r="N177" s="30" t="str">
        <f>IF(A177="","",IF(Настройки_2026!$B$6="ДЕМО",1,IF(I177="ДЕМО",0,1)))</f>
        <v/>
      </c>
    </row>
    <row r="178" spans="1:14" x14ac:dyDescent="0.25">
      <c r="A178" s="26"/>
      <c r="B178" s="27"/>
      <c r="C178" s="27"/>
      <c r="D178" s="27"/>
      <c r="E178" s="28"/>
      <c r="F178" s="27"/>
      <c r="G178" s="27"/>
      <c r="H178" s="29"/>
      <c r="I178" s="27"/>
      <c r="J178" s="27"/>
      <c r="K178" s="30" t="str">
        <f t="shared" si="2"/>
        <v/>
      </c>
      <c r="L178" s="31">
        <f>IF(B178&lt;&gt;"Расход",0,IF(H178&lt;&gt;"",E178*H178,IFERROR(IF(VLOOKUP(D178,Категории!$A$3:$F$27,4,FALSE)="",0,E178*VLOOKUP(D178,Категории!$A$3:$F$27,4,FALSE)),0)))</f>
        <v>0</v>
      </c>
      <c r="M178" s="30" t="str">
        <f>IF(A178="","",IF(NOT(ISNUMBER(A178)),"ДАТА; ","")&amp;IF(NOT(ISNUMBER(E178)),"СУММА; ","")&amp;IF(AND(B178&lt;&gt;"",D178&lt;&gt;"",IFERROR(VLOOKUP(D178,Категории!$A$3:$B$27,2,FALSE),"")&lt;&gt;B178),"ТИП/КАТЕГОРИЯ; ","")&amp;IF(AND(B178="Доход",G178=""),"НЕТ № КВИТАНЦИИ; ","")&amp;IF(AND(B178="Расход",H178="",IFERROR(VLOOKUP(D178,Категории!$A$3:$D$27,4,FALSE),"")=""),"УКАЖИТЕ ДОЛЮ; ","")&amp;IF(COUNTIFS($A$5:$A$504,A178,$B$5:$B$504,B178,$C$5:$C$504,C178,$E$5:$E$504,E178)&gt;1,"ВОЗМОЖНЫЙ ДУБЛЬ; ","")&amp;IF(AND(A178&lt;&gt;"",A179&lt;&gt;"",A178&lt;A179),"ПОРЯДОК ДАТ; ",""))</f>
        <v/>
      </c>
      <c r="N178" s="30" t="str">
        <f>IF(A178="","",IF(Настройки_2026!$B$6="ДЕМО",1,IF(I178="ДЕМО",0,1)))</f>
        <v/>
      </c>
    </row>
    <row r="179" spans="1:14" x14ac:dyDescent="0.25">
      <c r="A179" s="26"/>
      <c r="B179" s="27"/>
      <c r="C179" s="27"/>
      <c r="D179" s="27"/>
      <c r="E179" s="28"/>
      <c r="F179" s="27"/>
      <c r="G179" s="27"/>
      <c r="H179" s="29"/>
      <c r="I179" s="27"/>
      <c r="J179" s="27"/>
      <c r="K179" s="30" t="str">
        <f t="shared" si="2"/>
        <v/>
      </c>
      <c r="L179" s="31">
        <f>IF(B179&lt;&gt;"Расход",0,IF(H179&lt;&gt;"",E179*H179,IFERROR(IF(VLOOKUP(D179,Категории!$A$3:$F$27,4,FALSE)="",0,E179*VLOOKUP(D179,Категории!$A$3:$F$27,4,FALSE)),0)))</f>
        <v>0</v>
      </c>
      <c r="M179" s="30" t="str">
        <f>IF(A179="","",IF(NOT(ISNUMBER(A179)),"ДАТА; ","")&amp;IF(NOT(ISNUMBER(E179)),"СУММА; ","")&amp;IF(AND(B179&lt;&gt;"",D179&lt;&gt;"",IFERROR(VLOOKUP(D179,Категории!$A$3:$B$27,2,FALSE),"")&lt;&gt;B179),"ТИП/КАТЕГОРИЯ; ","")&amp;IF(AND(B179="Доход",G179=""),"НЕТ № КВИТАНЦИИ; ","")&amp;IF(AND(B179="Расход",H179="",IFERROR(VLOOKUP(D179,Категории!$A$3:$D$27,4,FALSE),"")=""),"УКАЖИТЕ ДОЛЮ; ","")&amp;IF(COUNTIFS($A$5:$A$504,A179,$B$5:$B$504,B179,$C$5:$C$504,C179,$E$5:$E$504,E179)&gt;1,"ВОЗМОЖНЫЙ ДУБЛЬ; ","")&amp;IF(AND(A179&lt;&gt;"",A180&lt;&gt;"",A179&lt;A180),"ПОРЯДОК ДАТ; ",""))</f>
        <v/>
      </c>
      <c r="N179" s="30" t="str">
        <f>IF(A179="","",IF(Настройки_2026!$B$6="ДЕМО",1,IF(I179="ДЕМО",0,1)))</f>
        <v/>
      </c>
    </row>
    <row r="180" spans="1:14" x14ac:dyDescent="0.25">
      <c r="A180" s="26"/>
      <c r="B180" s="27"/>
      <c r="C180" s="27"/>
      <c r="D180" s="27"/>
      <c r="E180" s="28"/>
      <c r="F180" s="27"/>
      <c r="G180" s="27"/>
      <c r="H180" s="29"/>
      <c r="I180" s="27"/>
      <c r="J180" s="27"/>
      <c r="K180" s="30" t="str">
        <f t="shared" si="2"/>
        <v/>
      </c>
      <c r="L180" s="31">
        <f>IF(B180&lt;&gt;"Расход",0,IF(H180&lt;&gt;"",E180*H180,IFERROR(IF(VLOOKUP(D180,Категории!$A$3:$F$27,4,FALSE)="",0,E180*VLOOKUP(D180,Категории!$A$3:$F$27,4,FALSE)),0)))</f>
        <v>0</v>
      </c>
      <c r="M180" s="30" t="str">
        <f>IF(A180="","",IF(NOT(ISNUMBER(A180)),"ДАТА; ","")&amp;IF(NOT(ISNUMBER(E180)),"СУММА; ","")&amp;IF(AND(B180&lt;&gt;"",D180&lt;&gt;"",IFERROR(VLOOKUP(D180,Категории!$A$3:$B$27,2,FALSE),"")&lt;&gt;B180),"ТИП/КАТЕГОРИЯ; ","")&amp;IF(AND(B180="Доход",G180=""),"НЕТ № КВИТАНЦИИ; ","")&amp;IF(AND(B180="Расход",H180="",IFERROR(VLOOKUP(D180,Категории!$A$3:$D$27,4,FALSE),"")=""),"УКАЖИТЕ ДОЛЮ; ","")&amp;IF(COUNTIFS($A$5:$A$504,A180,$B$5:$B$504,B180,$C$5:$C$504,C180,$E$5:$E$504,E180)&gt;1,"ВОЗМОЖНЫЙ ДУБЛЬ; ","")&amp;IF(AND(A180&lt;&gt;"",A181&lt;&gt;"",A180&lt;A181),"ПОРЯДОК ДАТ; ",""))</f>
        <v/>
      </c>
      <c r="N180" s="30" t="str">
        <f>IF(A180="","",IF(Настройки_2026!$B$6="ДЕМО",1,IF(I180="ДЕМО",0,1)))</f>
        <v/>
      </c>
    </row>
    <row r="181" spans="1:14" x14ac:dyDescent="0.25">
      <c r="A181" s="26"/>
      <c r="B181" s="27"/>
      <c r="C181" s="27"/>
      <c r="D181" s="27"/>
      <c r="E181" s="28"/>
      <c r="F181" s="27"/>
      <c r="G181" s="27"/>
      <c r="H181" s="29"/>
      <c r="I181" s="27"/>
      <c r="J181" s="27"/>
      <c r="K181" s="30" t="str">
        <f t="shared" si="2"/>
        <v/>
      </c>
      <c r="L181" s="31">
        <f>IF(B181&lt;&gt;"Расход",0,IF(H181&lt;&gt;"",E181*H181,IFERROR(IF(VLOOKUP(D181,Категории!$A$3:$F$27,4,FALSE)="",0,E181*VLOOKUP(D181,Категории!$A$3:$F$27,4,FALSE)),0)))</f>
        <v>0</v>
      </c>
      <c r="M181" s="30" t="str">
        <f>IF(A181="","",IF(NOT(ISNUMBER(A181)),"ДАТА; ","")&amp;IF(NOT(ISNUMBER(E181)),"СУММА; ","")&amp;IF(AND(B181&lt;&gt;"",D181&lt;&gt;"",IFERROR(VLOOKUP(D181,Категории!$A$3:$B$27,2,FALSE),"")&lt;&gt;B181),"ТИП/КАТЕГОРИЯ; ","")&amp;IF(AND(B181="Доход",G181=""),"НЕТ № КВИТАНЦИИ; ","")&amp;IF(AND(B181="Расход",H181="",IFERROR(VLOOKUP(D181,Категории!$A$3:$D$27,4,FALSE),"")=""),"УКАЖИТЕ ДОЛЮ; ","")&amp;IF(COUNTIFS($A$5:$A$504,A181,$B$5:$B$504,B181,$C$5:$C$504,C181,$E$5:$E$504,E181)&gt;1,"ВОЗМОЖНЫЙ ДУБЛЬ; ","")&amp;IF(AND(A181&lt;&gt;"",A182&lt;&gt;"",A181&lt;A182),"ПОРЯДОК ДАТ; ",""))</f>
        <v/>
      </c>
      <c r="N181" s="30" t="str">
        <f>IF(A181="","",IF(Настройки_2026!$B$6="ДЕМО",1,IF(I181="ДЕМО",0,1)))</f>
        <v/>
      </c>
    </row>
    <row r="182" spans="1:14" x14ac:dyDescent="0.25">
      <c r="A182" s="26"/>
      <c r="B182" s="27"/>
      <c r="C182" s="27"/>
      <c r="D182" s="27"/>
      <c r="E182" s="28"/>
      <c r="F182" s="27"/>
      <c r="G182" s="27"/>
      <c r="H182" s="29"/>
      <c r="I182" s="27"/>
      <c r="J182" s="27"/>
      <c r="K182" s="30" t="str">
        <f t="shared" si="2"/>
        <v/>
      </c>
      <c r="L182" s="31">
        <f>IF(B182&lt;&gt;"Расход",0,IF(H182&lt;&gt;"",E182*H182,IFERROR(IF(VLOOKUP(D182,Категории!$A$3:$F$27,4,FALSE)="",0,E182*VLOOKUP(D182,Категории!$A$3:$F$27,4,FALSE)),0)))</f>
        <v>0</v>
      </c>
      <c r="M182" s="30" t="str">
        <f>IF(A182="","",IF(NOT(ISNUMBER(A182)),"ДАТА; ","")&amp;IF(NOT(ISNUMBER(E182)),"СУММА; ","")&amp;IF(AND(B182&lt;&gt;"",D182&lt;&gt;"",IFERROR(VLOOKUP(D182,Категории!$A$3:$B$27,2,FALSE),"")&lt;&gt;B182),"ТИП/КАТЕГОРИЯ; ","")&amp;IF(AND(B182="Доход",G182=""),"НЕТ № КВИТАНЦИИ; ","")&amp;IF(AND(B182="Расход",H182="",IFERROR(VLOOKUP(D182,Категории!$A$3:$D$27,4,FALSE),"")=""),"УКАЖИТЕ ДОЛЮ; ","")&amp;IF(COUNTIFS($A$5:$A$504,A182,$B$5:$B$504,B182,$C$5:$C$504,C182,$E$5:$E$504,E182)&gt;1,"ВОЗМОЖНЫЙ ДУБЛЬ; ","")&amp;IF(AND(A182&lt;&gt;"",A183&lt;&gt;"",A182&lt;A183),"ПОРЯДОК ДАТ; ",""))</f>
        <v/>
      </c>
      <c r="N182" s="30" t="str">
        <f>IF(A182="","",IF(Настройки_2026!$B$6="ДЕМО",1,IF(I182="ДЕМО",0,1)))</f>
        <v/>
      </c>
    </row>
    <row r="183" spans="1:14" x14ac:dyDescent="0.25">
      <c r="A183" s="26"/>
      <c r="B183" s="27"/>
      <c r="C183" s="27"/>
      <c r="D183" s="27"/>
      <c r="E183" s="28"/>
      <c r="F183" s="27"/>
      <c r="G183" s="27"/>
      <c r="H183" s="29"/>
      <c r="I183" s="27"/>
      <c r="J183" s="27"/>
      <c r="K183" s="30" t="str">
        <f t="shared" si="2"/>
        <v/>
      </c>
      <c r="L183" s="31">
        <f>IF(B183&lt;&gt;"Расход",0,IF(H183&lt;&gt;"",E183*H183,IFERROR(IF(VLOOKUP(D183,Категории!$A$3:$F$27,4,FALSE)="",0,E183*VLOOKUP(D183,Категории!$A$3:$F$27,4,FALSE)),0)))</f>
        <v>0</v>
      </c>
      <c r="M183" s="30" t="str">
        <f>IF(A183="","",IF(NOT(ISNUMBER(A183)),"ДАТА; ","")&amp;IF(NOT(ISNUMBER(E183)),"СУММА; ","")&amp;IF(AND(B183&lt;&gt;"",D183&lt;&gt;"",IFERROR(VLOOKUP(D183,Категории!$A$3:$B$27,2,FALSE),"")&lt;&gt;B183),"ТИП/КАТЕГОРИЯ; ","")&amp;IF(AND(B183="Доход",G183=""),"НЕТ № КВИТАНЦИИ; ","")&amp;IF(AND(B183="Расход",H183="",IFERROR(VLOOKUP(D183,Категории!$A$3:$D$27,4,FALSE),"")=""),"УКАЖИТЕ ДОЛЮ; ","")&amp;IF(COUNTIFS($A$5:$A$504,A183,$B$5:$B$504,B183,$C$5:$C$504,C183,$E$5:$E$504,E183)&gt;1,"ВОЗМОЖНЫЙ ДУБЛЬ; ","")&amp;IF(AND(A183&lt;&gt;"",A184&lt;&gt;"",A183&lt;A184),"ПОРЯДОК ДАТ; ",""))</f>
        <v/>
      </c>
      <c r="N183" s="30" t="str">
        <f>IF(A183="","",IF(Настройки_2026!$B$6="ДЕМО",1,IF(I183="ДЕМО",0,1)))</f>
        <v/>
      </c>
    </row>
    <row r="184" spans="1:14" x14ac:dyDescent="0.25">
      <c r="A184" s="26"/>
      <c r="B184" s="27"/>
      <c r="C184" s="27"/>
      <c r="D184" s="27"/>
      <c r="E184" s="28"/>
      <c r="F184" s="27"/>
      <c r="G184" s="27"/>
      <c r="H184" s="29"/>
      <c r="I184" s="27"/>
      <c r="J184" s="27"/>
      <c r="K184" s="30" t="str">
        <f t="shared" si="2"/>
        <v/>
      </c>
      <c r="L184" s="31">
        <f>IF(B184&lt;&gt;"Расход",0,IF(H184&lt;&gt;"",E184*H184,IFERROR(IF(VLOOKUP(D184,Категории!$A$3:$F$27,4,FALSE)="",0,E184*VLOOKUP(D184,Категории!$A$3:$F$27,4,FALSE)),0)))</f>
        <v>0</v>
      </c>
      <c r="M184" s="30" t="str">
        <f>IF(A184="","",IF(NOT(ISNUMBER(A184)),"ДАТА; ","")&amp;IF(NOT(ISNUMBER(E184)),"СУММА; ","")&amp;IF(AND(B184&lt;&gt;"",D184&lt;&gt;"",IFERROR(VLOOKUP(D184,Категории!$A$3:$B$27,2,FALSE),"")&lt;&gt;B184),"ТИП/КАТЕГОРИЯ; ","")&amp;IF(AND(B184="Доход",G184=""),"НЕТ № КВИТАНЦИИ; ","")&amp;IF(AND(B184="Расход",H184="",IFERROR(VLOOKUP(D184,Категории!$A$3:$D$27,4,FALSE),"")=""),"УКАЖИТЕ ДОЛЮ; ","")&amp;IF(COUNTIFS($A$5:$A$504,A184,$B$5:$B$504,B184,$C$5:$C$504,C184,$E$5:$E$504,E184)&gt;1,"ВОЗМОЖНЫЙ ДУБЛЬ; ","")&amp;IF(AND(A184&lt;&gt;"",A185&lt;&gt;"",A184&lt;A185),"ПОРЯДОК ДАТ; ",""))</f>
        <v/>
      </c>
      <c r="N184" s="30" t="str">
        <f>IF(A184="","",IF(Настройки_2026!$B$6="ДЕМО",1,IF(I184="ДЕМО",0,1)))</f>
        <v/>
      </c>
    </row>
    <row r="185" spans="1:14" x14ac:dyDescent="0.25">
      <c r="A185" s="26"/>
      <c r="B185" s="27"/>
      <c r="C185" s="27"/>
      <c r="D185" s="27"/>
      <c r="E185" s="28"/>
      <c r="F185" s="27"/>
      <c r="G185" s="27"/>
      <c r="H185" s="29"/>
      <c r="I185" s="27"/>
      <c r="J185" s="27"/>
      <c r="K185" s="30" t="str">
        <f t="shared" si="2"/>
        <v/>
      </c>
      <c r="L185" s="31">
        <f>IF(B185&lt;&gt;"Расход",0,IF(H185&lt;&gt;"",E185*H185,IFERROR(IF(VLOOKUP(D185,Категории!$A$3:$F$27,4,FALSE)="",0,E185*VLOOKUP(D185,Категории!$A$3:$F$27,4,FALSE)),0)))</f>
        <v>0</v>
      </c>
      <c r="M185" s="30" t="str">
        <f>IF(A185="","",IF(NOT(ISNUMBER(A185)),"ДАТА; ","")&amp;IF(NOT(ISNUMBER(E185)),"СУММА; ","")&amp;IF(AND(B185&lt;&gt;"",D185&lt;&gt;"",IFERROR(VLOOKUP(D185,Категории!$A$3:$B$27,2,FALSE),"")&lt;&gt;B185),"ТИП/КАТЕГОРИЯ; ","")&amp;IF(AND(B185="Доход",G185=""),"НЕТ № КВИТАНЦИИ; ","")&amp;IF(AND(B185="Расход",H185="",IFERROR(VLOOKUP(D185,Категории!$A$3:$D$27,4,FALSE),"")=""),"УКАЖИТЕ ДОЛЮ; ","")&amp;IF(COUNTIFS($A$5:$A$504,A185,$B$5:$B$504,B185,$C$5:$C$504,C185,$E$5:$E$504,E185)&gt;1,"ВОЗМОЖНЫЙ ДУБЛЬ; ","")&amp;IF(AND(A185&lt;&gt;"",A186&lt;&gt;"",A185&lt;A186),"ПОРЯДОК ДАТ; ",""))</f>
        <v/>
      </c>
      <c r="N185" s="30" t="str">
        <f>IF(A185="","",IF(Настройки_2026!$B$6="ДЕМО",1,IF(I185="ДЕМО",0,1)))</f>
        <v/>
      </c>
    </row>
    <row r="186" spans="1:14" x14ac:dyDescent="0.25">
      <c r="A186" s="26"/>
      <c r="B186" s="27"/>
      <c r="C186" s="27"/>
      <c r="D186" s="27"/>
      <c r="E186" s="28"/>
      <c r="F186" s="27"/>
      <c r="G186" s="27"/>
      <c r="H186" s="29"/>
      <c r="I186" s="27"/>
      <c r="J186" s="27"/>
      <c r="K186" s="30" t="str">
        <f t="shared" si="2"/>
        <v/>
      </c>
      <c r="L186" s="31">
        <f>IF(B186&lt;&gt;"Расход",0,IF(H186&lt;&gt;"",E186*H186,IFERROR(IF(VLOOKUP(D186,Категории!$A$3:$F$27,4,FALSE)="",0,E186*VLOOKUP(D186,Категории!$A$3:$F$27,4,FALSE)),0)))</f>
        <v>0</v>
      </c>
      <c r="M186" s="30" t="str">
        <f>IF(A186="","",IF(NOT(ISNUMBER(A186)),"ДАТА; ","")&amp;IF(NOT(ISNUMBER(E186)),"СУММА; ","")&amp;IF(AND(B186&lt;&gt;"",D186&lt;&gt;"",IFERROR(VLOOKUP(D186,Категории!$A$3:$B$27,2,FALSE),"")&lt;&gt;B186),"ТИП/КАТЕГОРИЯ; ","")&amp;IF(AND(B186="Доход",G186=""),"НЕТ № КВИТАНЦИИ; ","")&amp;IF(AND(B186="Расход",H186="",IFERROR(VLOOKUP(D186,Категории!$A$3:$D$27,4,FALSE),"")=""),"УКАЖИТЕ ДОЛЮ; ","")&amp;IF(COUNTIFS($A$5:$A$504,A186,$B$5:$B$504,B186,$C$5:$C$504,C186,$E$5:$E$504,E186)&gt;1,"ВОЗМОЖНЫЙ ДУБЛЬ; ","")&amp;IF(AND(A186&lt;&gt;"",A187&lt;&gt;"",A186&lt;A187),"ПОРЯДОК ДАТ; ",""))</f>
        <v/>
      </c>
      <c r="N186" s="30" t="str">
        <f>IF(A186="","",IF(Настройки_2026!$B$6="ДЕМО",1,IF(I186="ДЕМО",0,1)))</f>
        <v/>
      </c>
    </row>
    <row r="187" spans="1:14" x14ac:dyDescent="0.25">
      <c r="A187" s="26"/>
      <c r="B187" s="27"/>
      <c r="C187" s="27"/>
      <c r="D187" s="27"/>
      <c r="E187" s="28"/>
      <c r="F187" s="27"/>
      <c r="G187" s="27"/>
      <c r="H187" s="29"/>
      <c r="I187" s="27"/>
      <c r="J187" s="27"/>
      <c r="K187" s="30" t="str">
        <f t="shared" si="2"/>
        <v/>
      </c>
      <c r="L187" s="31">
        <f>IF(B187&lt;&gt;"Расход",0,IF(H187&lt;&gt;"",E187*H187,IFERROR(IF(VLOOKUP(D187,Категории!$A$3:$F$27,4,FALSE)="",0,E187*VLOOKUP(D187,Категории!$A$3:$F$27,4,FALSE)),0)))</f>
        <v>0</v>
      </c>
      <c r="M187" s="30" t="str">
        <f>IF(A187="","",IF(NOT(ISNUMBER(A187)),"ДАТА; ","")&amp;IF(NOT(ISNUMBER(E187)),"СУММА; ","")&amp;IF(AND(B187&lt;&gt;"",D187&lt;&gt;"",IFERROR(VLOOKUP(D187,Категории!$A$3:$B$27,2,FALSE),"")&lt;&gt;B187),"ТИП/КАТЕГОРИЯ; ","")&amp;IF(AND(B187="Доход",G187=""),"НЕТ № КВИТАНЦИИ; ","")&amp;IF(AND(B187="Расход",H187="",IFERROR(VLOOKUP(D187,Категории!$A$3:$D$27,4,FALSE),"")=""),"УКАЖИТЕ ДОЛЮ; ","")&amp;IF(COUNTIFS($A$5:$A$504,A187,$B$5:$B$504,B187,$C$5:$C$504,C187,$E$5:$E$504,E187)&gt;1,"ВОЗМОЖНЫЙ ДУБЛЬ; ","")&amp;IF(AND(A187&lt;&gt;"",A188&lt;&gt;"",A187&lt;A188),"ПОРЯДОК ДАТ; ",""))</f>
        <v/>
      </c>
      <c r="N187" s="30" t="str">
        <f>IF(A187="","",IF(Настройки_2026!$B$6="ДЕМО",1,IF(I187="ДЕМО",0,1)))</f>
        <v/>
      </c>
    </row>
    <row r="188" spans="1:14" x14ac:dyDescent="0.25">
      <c r="A188" s="26"/>
      <c r="B188" s="27"/>
      <c r="C188" s="27"/>
      <c r="D188" s="27"/>
      <c r="E188" s="28"/>
      <c r="F188" s="27"/>
      <c r="G188" s="27"/>
      <c r="H188" s="29"/>
      <c r="I188" s="27"/>
      <c r="J188" s="27"/>
      <c r="K188" s="30" t="str">
        <f t="shared" si="2"/>
        <v/>
      </c>
      <c r="L188" s="31">
        <f>IF(B188&lt;&gt;"Расход",0,IF(H188&lt;&gt;"",E188*H188,IFERROR(IF(VLOOKUP(D188,Категории!$A$3:$F$27,4,FALSE)="",0,E188*VLOOKUP(D188,Категории!$A$3:$F$27,4,FALSE)),0)))</f>
        <v>0</v>
      </c>
      <c r="M188" s="30" t="str">
        <f>IF(A188="","",IF(NOT(ISNUMBER(A188)),"ДАТА; ","")&amp;IF(NOT(ISNUMBER(E188)),"СУММА; ","")&amp;IF(AND(B188&lt;&gt;"",D188&lt;&gt;"",IFERROR(VLOOKUP(D188,Категории!$A$3:$B$27,2,FALSE),"")&lt;&gt;B188),"ТИП/КАТЕГОРИЯ; ","")&amp;IF(AND(B188="Доход",G188=""),"НЕТ № КВИТАНЦИИ; ","")&amp;IF(AND(B188="Расход",H188="",IFERROR(VLOOKUP(D188,Категории!$A$3:$D$27,4,FALSE),"")=""),"УКАЖИТЕ ДОЛЮ; ","")&amp;IF(COUNTIFS($A$5:$A$504,A188,$B$5:$B$504,B188,$C$5:$C$504,C188,$E$5:$E$504,E188)&gt;1,"ВОЗМОЖНЫЙ ДУБЛЬ; ","")&amp;IF(AND(A188&lt;&gt;"",A189&lt;&gt;"",A188&lt;A189),"ПОРЯДОК ДАТ; ",""))</f>
        <v/>
      </c>
      <c r="N188" s="30" t="str">
        <f>IF(A188="","",IF(Настройки_2026!$B$6="ДЕМО",1,IF(I188="ДЕМО",0,1)))</f>
        <v/>
      </c>
    </row>
    <row r="189" spans="1:14" x14ac:dyDescent="0.25">
      <c r="A189" s="26"/>
      <c r="B189" s="27"/>
      <c r="C189" s="27"/>
      <c r="D189" s="27"/>
      <c r="E189" s="28"/>
      <c r="F189" s="27"/>
      <c r="G189" s="27"/>
      <c r="H189" s="29"/>
      <c r="I189" s="27"/>
      <c r="J189" s="27"/>
      <c r="K189" s="30" t="str">
        <f t="shared" si="2"/>
        <v/>
      </c>
      <c r="L189" s="31">
        <f>IF(B189&lt;&gt;"Расход",0,IF(H189&lt;&gt;"",E189*H189,IFERROR(IF(VLOOKUP(D189,Категории!$A$3:$F$27,4,FALSE)="",0,E189*VLOOKUP(D189,Категории!$A$3:$F$27,4,FALSE)),0)))</f>
        <v>0</v>
      </c>
      <c r="M189" s="30" t="str">
        <f>IF(A189="","",IF(NOT(ISNUMBER(A189)),"ДАТА; ","")&amp;IF(NOT(ISNUMBER(E189)),"СУММА; ","")&amp;IF(AND(B189&lt;&gt;"",D189&lt;&gt;"",IFERROR(VLOOKUP(D189,Категории!$A$3:$B$27,2,FALSE),"")&lt;&gt;B189),"ТИП/КАТЕГОРИЯ; ","")&amp;IF(AND(B189="Доход",G189=""),"НЕТ № КВИТАНЦИИ; ","")&amp;IF(AND(B189="Расход",H189="",IFERROR(VLOOKUP(D189,Категории!$A$3:$D$27,4,FALSE),"")=""),"УКАЖИТЕ ДОЛЮ; ","")&amp;IF(COUNTIFS($A$5:$A$504,A189,$B$5:$B$504,B189,$C$5:$C$504,C189,$E$5:$E$504,E189)&gt;1,"ВОЗМОЖНЫЙ ДУБЛЬ; ","")&amp;IF(AND(A189&lt;&gt;"",A190&lt;&gt;"",A189&lt;A190),"ПОРЯДОК ДАТ; ",""))</f>
        <v/>
      </c>
      <c r="N189" s="30" t="str">
        <f>IF(A189="","",IF(Настройки_2026!$B$6="ДЕМО",1,IF(I189="ДЕМО",0,1)))</f>
        <v/>
      </c>
    </row>
    <row r="190" spans="1:14" x14ac:dyDescent="0.25">
      <c r="A190" s="26"/>
      <c r="B190" s="27"/>
      <c r="C190" s="27"/>
      <c r="D190" s="27"/>
      <c r="E190" s="28"/>
      <c r="F190" s="27"/>
      <c r="G190" s="27"/>
      <c r="H190" s="29"/>
      <c r="I190" s="27"/>
      <c r="J190" s="27"/>
      <c r="K190" s="30" t="str">
        <f t="shared" si="2"/>
        <v/>
      </c>
      <c r="L190" s="31">
        <f>IF(B190&lt;&gt;"Расход",0,IF(H190&lt;&gt;"",E190*H190,IFERROR(IF(VLOOKUP(D190,Категории!$A$3:$F$27,4,FALSE)="",0,E190*VLOOKUP(D190,Категории!$A$3:$F$27,4,FALSE)),0)))</f>
        <v>0</v>
      </c>
      <c r="M190" s="30" t="str">
        <f>IF(A190="","",IF(NOT(ISNUMBER(A190)),"ДАТА; ","")&amp;IF(NOT(ISNUMBER(E190)),"СУММА; ","")&amp;IF(AND(B190&lt;&gt;"",D190&lt;&gt;"",IFERROR(VLOOKUP(D190,Категории!$A$3:$B$27,2,FALSE),"")&lt;&gt;B190),"ТИП/КАТЕГОРИЯ; ","")&amp;IF(AND(B190="Доход",G190=""),"НЕТ № КВИТАНЦИИ; ","")&amp;IF(AND(B190="Расход",H190="",IFERROR(VLOOKUP(D190,Категории!$A$3:$D$27,4,FALSE),"")=""),"УКАЖИТЕ ДОЛЮ; ","")&amp;IF(COUNTIFS($A$5:$A$504,A190,$B$5:$B$504,B190,$C$5:$C$504,C190,$E$5:$E$504,E190)&gt;1,"ВОЗМОЖНЫЙ ДУБЛЬ; ","")&amp;IF(AND(A190&lt;&gt;"",A191&lt;&gt;"",A190&lt;A191),"ПОРЯДОК ДАТ; ",""))</f>
        <v/>
      </c>
      <c r="N190" s="30" t="str">
        <f>IF(A190="","",IF(Настройки_2026!$B$6="ДЕМО",1,IF(I190="ДЕМО",0,1)))</f>
        <v/>
      </c>
    </row>
    <row r="191" spans="1:14" x14ac:dyDescent="0.25">
      <c r="A191" s="26"/>
      <c r="B191" s="27"/>
      <c r="C191" s="27"/>
      <c r="D191" s="27"/>
      <c r="E191" s="28"/>
      <c r="F191" s="27"/>
      <c r="G191" s="27"/>
      <c r="H191" s="29"/>
      <c r="I191" s="27"/>
      <c r="J191" s="27"/>
      <c r="K191" s="30" t="str">
        <f t="shared" si="2"/>
        <v/>
      </c>
      <c r="L191" s="31">
        <f>IF(B191&lt;&gt;"Расход",0,IF(H191&lt;&gt;"",E191*H191,IFERROR(IF(VLOOKUP(D191,Категории!$A$3:$F$27,4,FALSE)="",0,E191*VLOOKUP(D191,Категории!$A$3:$F$27,4,FALSE)),0)))</f>
        <v>0</v>
      </c>
      <c r="M191" s="30" t="str">
        <f>IF(A191="","",IF(NOT(ISNUMBER(A191)),"ДАТА; ","")&amp;IF(NOT(ISNUMBER(E191)),"СУММА; ","")&amp;IF(AND(B191&lt;&gt;"",D191&lt;&gt;"",IFERROR(VLOOKUP(D191,Категории!$A$3:$B$27,2,FALSE),"")&lt;&gt;B191),"ТИП/КАТЕГОРИЯ; ","")&amp;IF(AND(B191="Доход",G191=""),"НЕТ № КВИТАНЦИИ; ","")&amp;IF(AND(B191="Расход",H191="",IFERROR(VLOOKUP(D191,Категории!$A$3:$D$27,4,FALSE),"")=""),"УКАЖИТЕ ДОЛЮ; ","")&amp;IF(COUNTIFS($A$5:$A$504,A191,$B$5:$B$504,B191,$C$5:$C$504,C191,$E$5:$E$504,E191)&gt;1,"ВОЗМОЖНЫЙ ДУБЛЬ; ","")&amp;IF(AND(A191&lt;&gt;"",A192&lt;&gt;"",A191&lt;A192),"ПОРЯДОК ДАТ; ",""))</f>
        <v/>
      </c>
      <c r="N191" s="30" t="str">
        <f>IF(A191="","",IF(Настройки_2026!$B$6="ДЕМО",1,IF(I191="ДЕМО",0,1)))</f>
        <v/>
      </c>
    </row>
    <row r="192" spans="1:14" x14ac:dyDescent="0.25">
      <c r="A192" s="26"/>
      <c r="B192" s="27"/>
      <c r="C192" s="27"/>
      <c r="D192" s="27"/>
      <c r="E192" s="28"/>
      <c r="F192" s="27"/>
      <c r="G192" s="27"/>
      <c r="H192" s="29"/>
      <c r="I192" s="27"/>
      <c r="J192" s="27"/>
      <c r="K192" s="30" t="str">
        <f t="shared" si="2"/>
        <v/>
      </c>
      <c r="L192" s="31">
        <f>IF(B192&lt;&gt;"Расход",0,IF(H192&lt;&gt;"",E192*H192,IFERROR(IF(VLOOKUP(D192,Категории!$A$3:$F$27,4,FALSE)="",0,E192*VLOOKUP(D192,Категории!$A$3:$F$27,4,FALSE)),0)))</f>
        <v>0</v>
      </c>
      <c r="M192" s="30" t="str">
        <f>IF(A192="","",IF(NOT(ISNUMBER(A192)),"ДАТА; ","")&amp;IF(NOT(ISNUMBER(E192)),"СУММА; ","")&amp;IF(AND(B192&lt;&gt;"",D192&lt;&gt;"",IFERROR(VLOOKUP(D192,Категории!$A$3:$B$27,2,FALSE),"")&lt;&gt;B192),"ТИП/КАТЕГОРИЯ; ","")&amp;IF(AND(B192="Доход",G192=""),"НЕТ № КВИТАНЦИИ; ","")&amp;IF(AND(B192="Расход",H192="",IFERROR(VLOOKUP(D192,Категории!$A$3:$D$27,4,FALSE),"")=""),"УКАЖИТЕ ДОЛЮ; ","")&amp;IF(COUNTIFS($A$5:$A$504,A192,$B$5:$B$504,B192,$C$5:$C$504,C192,$E$5:$E$504,E192)&gt;1,"ВОЗМОЖНЫЙ ДУБЛЬ; ","")&amp;IF(AND(A192&lt;&gt;"",A193&lt;&gt;"",A192&lt;A193),"ПОРЯДОК ДАТ; ",""))</f>
        <v/>
      </c>
      <c r="N192" s="30" t="str">
        <f>IF(A192="","",IF(Настройки_2026!$B$6="ДЕМО",1,IF(I192="ДЕМО",0,1)))</f>
        <v/>
      </c>
    </row>
    <row r="193" spans="1:14" x14ac:dyDescent="0.25">
      <c r="A193" s="26"/>
      <c r="B193" s="27"/>
      <c r="C193" s="27"/>
      <c r="D193" s="27"/>
      <c r="E193" s="28"/>
      <c r="F193" s="27"/>
      <c r="G193" s="27"/>
      <c r="H193" s="29"/>
      <c r="I193" s="27"/>
      <c r="J193" s="27"/>
      <c r="K193" s="30" t="str">
        <f t="shared" si="2"/>
        <v/>
      </c>
      <c r="L193" s="31">
        <f>IF(B193&lt;&gt;"Расход",0,IF(H193&lt;&gt;"",E193*H193,IFERROR(IF(VLOOKUP(D193,Категории!$A$3:$F$27,4,FALSE)="",0,E193*VLOOKUP(D193,Категории!$A$3:$F$27,4,FALSE)),0)))</f>
        <v>0</v>
      </c>
      <c r="M193" s="30" t="str">
        <f>IF(A193="","",IF(NOT(ISNUMBER(A193)),"ДАТА; ","")&amp;IF(NOT(ISNUMBER(E193)),"СУММА; ","")&amp;IF(AND(B193&lt;&gt;"",D193&lt;&gt;"",IFERROR(VLOOKUP(D193,Категории!$A$3:$B$27,2,FALSE),"")&lt;&gt;B193),"ТИП/КАТЕГОРИЯ; ","")&amp;IF(AND(B193="Доход",G193=""),"НЕТ № КВИТАНЦИИ; ","")&amp;IF(AND(B193="Расход",H193="",IFERROR(VLOOKUP(D193,Категории!$A$3:$D$27,4,FALSE),"")=""),"УКАЖИТЕ ДОЛЮ; ","")&amp;IF(COUNTIFS($A$5:$A$504,A193,$B$5:$B$504,B193,$C$5:$C$504,C193,$E$5:$E$504,E193)&gt;1,"ВОЗМОЖНЫЙ ДУБЛЬ; ","")&amp;IF(AND(A193&lt;&gt;"",A194&lt;&gt;"",A193&lt;A194),"ПОРЯДОК ДАТ; ",""))</f>
        <v/>
      </c>
      <c r="N193" s="30" t="str">
        <f>IF(A193="","",IF(Настройки_2026!$B$6="ДЕМО",1,IF(I193="ДЕМО",0,1)))</f>
        <v/>
      </c>
    </row>
    <row r="194" spans="1:14" x14ac:dyDescent="0.25">
      <c r="A194" s="26"/>
      <c r="B194" s="27"/>
      <c r="C194" s="27"/>
      <c r="D194" s="27"/>
      <c r="E194" s="28"/>
      <c r="F194" s="27"/>
      <c r="G194" s="27"/>
      <c r="H194" s="29"/>
      <c r="I194" s="27"/>
      <c r="J194" s="27"/>
      <c r="K194" s="30" t="str">
        <f t="shared" si="2"/>
        <v/>
      </c>
      <c r="L194" s="31">
        <f>IF(B194&lt;&gt;"Расход",0,IF(H194&lt;&gt;"",E194*H194,IFERROR(IF(VLOOKUP(D194,Категории!$A$3:$F$27,4,FALSE)="",0,E194*VLOOKUP(D194,Категории!$A$3:$F$27,4,FALSE)),0)))</f>
        <v>0</v>
      </c>
      <c r="M194" s="30" t="str">
        <f>IF(A194="","",IF(NOT(ISNUMBER(A194)),"ДАТА; ","")&amp;IF(NOT(ISNUMBER(E194)),"СУММА; ","")&amp;IF(AND(B194&lt;&gt;"",D194&lt;&gt;"",IFERROR(VLOOKUP(D194,Категории!$A$3:$B$27,2,FALSE),"")&lt;&gt;B194),"ТИП/КАТЕГОРИЯ; ","")&amp;IF(AND(B194="Доход",G194=""),"НЕТ № КВИТАНЦИИ; ","")&amp;IF(AND(B194="Расход",H194="",IFERROR(VLOOKUP(D194,Категории!$A$3:$D$27,4,FALSE),"")=""),"УКАЖИТЕ ДОЛЮ; ","")&amp;IF(COUNTIFS($A$5:$A$504,A194,$B$5:$B$504,B194,$C$5:$C$504,C194,$E$5:$E$504,E194)&gt;1,"ВОЗМОЖНЫЙ ДУБЛЬ; ","")&amp;IF(AND(A194&lt;&gt;"",A195&lt;&gt;"",A194&lt;A195),"ПОРЯДОК ДАТ; ",""))</f>
        <v/>
      </c>
      <c r="N194" s="30" t="str">
        <f>IF(A194="","",IF(Настройки_2026!$B$6="ДЕМО",1,IF(I194="ДЕМО",0,1)))</f>
        <v/>
      </c>
    </row>
    <row r="195" spans="1:14" x14ac:dyDescent="0.25">
      <c r="A195" s="26"/>
      <c r="B195" s="27"/>
      <c r="C195" s="27"/>
      <c r="D195" s="27"/>
      <c r="E195" s="28"/>
      <c r="F195" s="27"/>
      <c r="G195" s="27"/>
      <c r="H195" s="29"/>
      <c r="I195" s="27"/>
      <c r="J195" s="27"/>
      <c r="K195" s="30" t="str">
        <f t="shared" si="2"/>
        <v/>
      </c>
      <c r="L195" s="31">
        <f>IF(B195&lt;&gt;"Расход",0,IF(H195&lt;&gt;"",E195*H195,IFERROR(IF(VLOOKUP(D195,Категории!$A$3:$F$27,4,FALSE)="",0,E195*VLOOKUP(D195,Категории!$A$3:$F$27,4,FALSE)),0)))</f>
        <v>0</v>
      </c>
      <c r="M195" s="30" t="str">
        <f>IF(A195="","",IF(NOT(ISNUMBER(A195)),"ДАТА; ","")&amp;IF(NOT(ISNUMBER(E195)),"СУММА; ","")&amp;IF(AND(B195&lt;&gt;"",D195&lt;&gt;"",IFERROR(VLOOKUP(D195,Категории!$A$3:$B$27,2,FALSE),"")&lt;&gt;B195),"ТИП/КАТЕГОРИЯ; ","")&amp;IF(AND(B195="Доход",G195=""),"НЕТ № КВИТАНЦИИ; ","")&amp;IF(AND(B195="Расход",H195="",IFERROR(VLOOKUP(D195,Категории!$A$3:$D$27,4,FALSE),"")=""),"УКАЖИТЕ ДОЛЮ; ","")&amp;IF(COUNTIFS($A$5:$A$504,A195,$B$5:$B$504,B195,$C$5:$C$504,C195,$E$5:$E$504,E195)&gt;1,"ВОЗМОЖНЫЙ ДУБЛЬ; ","")&amp;IF(AND(A195&lt;&gt;"",A196&lt;&gt;"",A195&lt;A196),"ПОРЯДОК ДАТ; ",""))</f>
        <v/>
      </c>
      <c r="N195" s="30" t="str">
        <f>IF(A195="","",IF(Настройки_2026!$B$6="ДЕМО",1,IF(I195="ДЕМО",0,1)))</f>
        <v/>
      </c>
    </row>
    <row r="196" spans="1:14" x14ac:dyDescent="0.25">
      <c r="A196" s="26"/>
      <c r="B196" s="27"/>
      <c r="C196" s="27"/>
      <c r="D196" s="27"/>
      <c r="E196" s="28"/>
      <c r="F196" s="27"/>
      <c r="G196" s="27"/>
      <c r="H196" s="29"/>
      <c r="I196" s="27"/>
      <c r="J196" s="27"/>
      <c r="K196" s="30" t="str">
        <f t="shared" si="2"/>
        <v/>
      </c>
      <c r="L196" s="31">
        <f>IF(B196&lt;&gt;"Расход",0,IF(H196&lt;&gt;"",E196*H196,IFERROR(IF(VLOOKUP(D196,Категории!$A$3:$F$27,4,FALSE)="",0,E196*VLOOKUP(D196,Категории!$A$3:$F$27,4,FALSE)),0)))</f>
        <v>0</v>
      </c>
      <c r="M196" s="30" t="str">
        <f>IF(A196="","",IF(NOT(ISNUMBER(A196)),"ДАТА; ","")&amp;IF(NOT(ISNUMBER(E196)),"СУММА; ","")&amp;IF(AND(B196&lt;&gt;"",D196&lt;&gt;"",IFERROR(VLOOKUP(D196,Категории!$A$3:$B$27,2,FALSE),"")&lt;&gt;B196),"ТИП/КАТЕГОРИЯ; ","")&amp;IF(AND(B196="Доход",G196=""),"НЕТ № КВИТАНЦИИ; ","")&amp;IF(AND(B196="Расход",H196="",IFERROR(VLOOKUP(D196,Категории!$A$3:$D$27,4,FALSE),"")=""),"УКАЖИТЕ ДОЛЮ; ","")&amp;IF(COUNTIFS($A$5:$A$504,A196,$B$5:$B$504,B196,$C$5:$C$504,C196,$E$5:$E$504,E196)&gt;1,"ВОЗМОЖНЫЙ ДУБЛЬ; ","")&amp;IF(AND(A196&lt;&gt;"",A197&lt;&gt;"",A196&lt;A197),"ПОРЯДОК ДАТ; ",""))</f>
        <v/>
      </c>
      <c r="N196" s="30" t="str">
        <f>IF(A196="","",IF(Настройки_2026!$B$6="ДЕМО",1,IF(I196="ДЕМО",0,1)))</f>
        <v/>
      </c>
    </row>
    <row r="197" spans="1:14" x14ac:dyDescent="0.25">
      <c r="A197" s="26"/>
      <c r="B197" s="27"/>
      <c r="C197" s="27"/>
      <c r="D197" s="27"/>
      <c r="E197" s="28"/>
      <c r="F197" s="27"/>
      <c r="G197" s="27"/>
      <c r="H197" s="29"/>
      <c r="I197" s="27"/>
      <c r="J197" s="27"/>
      <c r="K197" s="30" t="str">
        <f t="shared" ref="K197:K260" si="3">IF(A197="","",MONTH(A197))</f>
        <v/>
      </c>
      <c r="L197" s="31">
        <f>IF(B197&lt;&gt;"Расход",0,IF(H197&lt;&gt;"",E197*H197,IFERROR(IF(VLOOKUP(D197,Категории!$A$3:$F$27,4,FALSE)="",0,E197*VLOOKUP(D197,Категории!$A$3:$F$27,4,FALSE)),0)))</f>
        <v>0</v>
      </c>
      <c r="M197" s="30" t="str">
        <f>IF(A197="","",IF(NOT(ISNUMBER(A197)),"ДАТА; ","")&amp;IF(NOT(ISNUMBER(E197)),"СУММА; ","")&amp;IF(AND(B197&lt;&gt;"",D197&lt;&gt;"",IFERROR(VLOOKUP(D197,Категории!$A$3:$B$27,2,FALSE),"")&lt;&gt;B197),"ТИП/КАТЕГОРИЯ; ","")&amp;IF(AND(B197="Доход",G197=""),"НЕТ № КВИТАНЦИИ; ","")&amp;IF(AND(B197="Расход",H197="",IFERROR(VLOOKUP(D197,Категории!$A$3:$D$27,4,FALSE),"")=""),"УКАЖИТЕ ДОЛЮ; ","")&amp;IF(COUNTIFS($A$5:$A$504,A197,$B$5:$B$504,B197,$C$5:$C$504,C197,$E$5:$E$504,E197)&gt;1,"ВОЗМОЖНЫЙ ДУБЛЬ; ","")&amp;IF(AND(A197&lt;&gt;"",A198&lt;&gt;"",A197&lt;A198),"ПОРЯДОК ДАТ; ",""))</f>
        <v/>
      </c>
      <c r="N197" s="30" t="str">
        <f>IF(A197="","",IF(Настройки_2026!$B$6="ДЕМО",1,IF(I197="ДЕМО",0,1)))</f>
        <v/>
      </c>
    </row>
    <row r="198" spans="1:14" x14ac:dyDescent="0.25">
      <c r="A198" s="26"/>
      <c r="B198" s="27"/>
      <c r="C198" s="27"/>
      <c r="D198" s="27"/>
      <c r="E198" s="28"/>
      <c r="F198" s="27"/>
      <c r="G198" s="27"/>
      <c r="H198" s="29"/>
      <c r="I198" s="27"/>
      <c r="J198" s="27"/>
      <c r="K198" s="30" t="str">
        <f t="shared" si="3"/>
        <v/>
      </c>
      <c r="L198" s="31">
        <f>IF(B198&lt;&gt;"Расход",0,IF(H198&lt;&gt;"",E198*H198,IFERROR(IF(VLOOKUP(D198,Категории!$A$3:$F$27,4,FALSE)="",0,E198*VLOOKUP(D198,Категории!$A$3:$F$27,4,FALSE)),0)))</f>
        <v>0</v>
      </c>
      <c r="M198" s="30" t="str">
        <f>IF(A198="","",IF(NOT(ISNUMBER(A198)),"ДАТА; ","")&amp;IF(NOT(ISNUMBER(E198)),"СУММА; ","")&amp;IF(AND(B198&lt;&gt;"",D198&lt;&gt;"",IFERROR(VLOOKUP(D198,Категории!$A$3:$B$27,2,FALSE),"")&lt;&gt;B198),"ТИП/КАТЕГОРИЯ; ","")&amp;IF(AND(B198="Доход",G198=""),"НЕТ № КВИТАНЦИИ; ","")&amp;IF(AND(B198="Расход",H198="",IFERROR(VLOOKUP(D198,Категории!$A$3:$D$27,4,FALSE),"")=""),"УКАЖИТЕ ДОЛЮ; ","")&amp;IF(COUNTIFS($A$5:$A$504,A198,$B$5:$B$504,B198,$C$5:$C$504,C198,$E$5:$E$504,E198)&gt;1,"ВОЗМОЖНЫЙ ДУБЛЬ; ","")&amp;IF(AND(A198&lt;&gt;"",A199&lt;&gt;"",A198&lt;A199),"ПОРЯДОК ДАТ; ",""))</f>
        <v/>
      </c>
      <c r="N198" s="30" t="str">
        <f>IF(A198="","",IF(Настройки_2026!$B$6="ДЕМО",1,IF(I198="ДЕМО",0,1)))</f>
        <v/>
      </c>
    </row>
    <row r="199" spans="1:14" x14ac:dyDescent="0.25">
      <c r="A199" s="26"/>
      <c r="B199" s="27"/>
      <c r="C199" s="27"/>
      <c r="D199" s="27"/>
      <c r="E199" s="28"/>
      <c r="F199" s="27"/>
      <c r="G199" s="27"/>
      <c r="H199" s="29"/>
      <c r="I199" s="27"/>
      <c r="J199" s="27"/>
      <c r="K199" s="30" t="str">
        <f t="shared" si="3"/>
        <v/>
      </c>
      <c r="L199" s="31">
        <f>IF(B199&lt;&gt;"Расход",0,IF(H199&lt;&gt;"",E199*H199,IFERROR(IF(VLOOKUP(D199,Категории!$A$3:$F$27,4,FALSE)="",0,E199*VLOOKUP(D199,Категории!$A$3:$F$27,4,FALSE)),0)))</f>
        <v>0</v>
      </c>
      <c r="M199" s="30" t="str">
        <f>IF(A199="","",IF(NOT(ISNUMBER(A199)),"ДАТА; ","")&amp;IF(NOT(ISNUMBER(E199)),"СУММА; ","")&amp;IF(AND(B199&lt;&gt;"",D199&lt;&gt;"",IFERROR(VLOOKUP(D199,Категории!$A$3:$B$27,2,FALSE),"")&lt;&gt;B199),"ТИП/КАТЕГОРИЯ; ","")&amp;IF(AND(B199="Доход",G199=""),"НЕТ № КВИТАНЦИИ; ","")&amp;IF(AND(B199="Расход",H199="",IFERROR(VLOOKUP(D199,Категории!$A$3:$D$27,4,FALSE),"")=""),"УКАЖИТЕ ДОЛЮ; ","")&amp;IF(COUNTIFS($A$5:$A$504,A199,$B$5:$B$504,B199,$C$5:$C$504,C199,$E$5:$E$504,E199)&gt;1,"ВОЗМОЖНЫЙ ДУБЛЬ; ","")&amp;IF(AND(A199&lt;&gt;"",A200&lt;&gt;"",A199&lt;A200),"ПОРЯДОК ДАТ; ",""))</f>
        <v/>
      </c>
      <c r="N199" s="30" t="str">
        <f>IF(A199="","",IF(Настройки_2026!$B$6="ДЕМО",1,IF(I199="ДЕМО",0,1)))</f>
        <v/>
      </c>
    </row>
    <row r="200" spans="1:14" x14ac:dyDescent="0.25">
      <c r="A200" s="26"/>
      <c r="B200" s="27"/>
      <c r="C200" s="27"/>
      <c r="D200" s="27"/>
      <c r="E200" s="28"/>
      <c r="F200" s="27"/>
      <c r="G200" s="27"/>
      <c r="H200" s="29"/>
      <c r="I200" s="27"/>
      <c r="J200" s="27"/>
      <c r="K200" s="30" t="str">
        <f t="shared" si="3"/>
        <v/>
      </c>
      <c r="L200" s="31">
        <f>IF(B200&lt;&gt;"Расход",0,IF(H200&lt;&gt;"",E200*H200,IFERROR(IF(VLOOKUP(D200,Категории!$A$3:$F$27,4,FALSE)="",0,E200*VLOOKUP(D200,Категории!$A$3:$F$27,4,FALSE)),0)))</f>
        <v>0</v>
      </c>
      <c r="M200" s="30" t="str">
        <f>IF(A200="","",IF(NOT(ISNUMBER(A200)),"ДАТА; ","")&amp;IF(NOT(ISNUMBER(E200)),"СУММА; ","")&amp;IF(AND(B200&lt;&gt;"",D200&lt;&gt;"",IFERROR(VLOOKUP(D200,Категории!$A$3:$B$27,2,FALSE),"")&lt;&gt;B200),"ТИП/КАТЕГОРИЯ; ","")&amp;IF(AND(B200="Доход",G200=""),"НЕТ № КВИТАНЦИИ; ","")&amp;IF(AND(B200="Расход",H200="",IFERROR(VLOOKUP(D200,Категории!$A$3:$D$27,4,FALSE),"")=""),"УКАЖИТЕ ДОЛЮ; ","")&amp;IF(COUNTIFS($A$5:$A$504,A200,$B$5:$B$504,B200,$C$5:$C$504,C200,$E$5:$E$504,E200)&gt;1,"ВОЗМОЖНЫЙ ДУБЛЬ; ","")&amp;IF(AND(A200&lt;&gt;"",A201&lt;&gt;"",A200&lt;A201),"ПОРЯДОК ДАТ; ",""))</f>
        <v/>
      </c>
      <c r="N200" s="30" t="str">
        <f>IF(A200="","",IF(Настройки_2026!$B$6="ДЕМО",1,IF(I200="ДЕМО",0,1)))</f>
        <v/>
      </c>
    </row>
    <row r="201" spans="1:14" x14ac:dyDescent="0.25">
      <c r="A201" s="26"/>
      <c r="B201" s="27"/>
      <c r="C201" s="27"/>
      <c r="D201" s="27"/>
      <c r="E201" s="28"/>
      <c r="F201" s="27"/>
      <c r="G201" s="27"/>
      <c r="H201" s="29"/>
      <c r="I201" s="27"/>
      <c r="J201" s="27"/>
      <c r="K201" s="30" t="str">
        <f t="shared" si="3"/>
        <v/>
      </c>
      <c r="L201" s="31">
        <f>IF(B201&lt;&gt;"Расход",0,IF(H201&lt;&gt;"",E201*H201,IFERROR(IF(VLOOKUP(D201,Категории!$A$3:$F$27,4,FALSE)="",0,E201*VLOOKUP(D201,Категории!$A$3:$F$27,4,FALSE)),0)))</f>
        <v>0</v>
      </c>
      <c r="M201" s="30" t="str">
        <f>IF(A201="","",IF(NOT(ISNUMBER(A201)),"ДАТА; ","")&amp;IF(NOT(ISNUMBER(E201)),"СУММА; ","")&amp;IF(AND(B201&lt;&gt;"",D201&lt;&gt;"",IFERROR(VLOOKUP(D201,Категории!$A$3:$B$27,2,FALSE),"")&lt;&gt;B201),"ТИП/КАТЕГОРИЯ; ","")&amp;IF(AND(B201="Доход",G201=""),"НЕТ № КВИТАНЦИИ; ","")&amp;IF(AND(B201="Расход",H201="",IFERROR(VLOOKUP(D201,Категории!$A$3:$D$27,4,FALSE),"")=""),"УКАЖИТЕ ДОЛЮ; ","")&amp;IF(COUNTIFS($A$5:$A$504,A201,$B$5:$B$504,B201,$C$5:$C$504,C201,$E$5:$E$504,E201)&gt;1,"ВОЗМОЖНЫЙ ДУБЛЬ; ","")&amp;IF(AND(A201&lt;&gt;"",A202&lt;&gt;"",A201&lt;A202),"ПОРЯДОК ДАТ; ",""))</f>
        <v/>
      </c>
      <c r="N201" s="30" t="str">
        <f>IF(A201="","",IF(Настройки_2026!$B$6="ДЕМО",1,IF(I201="ДЕМО",0,1)))</f>
        <v/>
      </c>
    </row>
    <row r="202" spans="1:14" x14ac:dyDescent="0.25">
      <c r="A202" s="26"/>
      <c r="B202" s="27"/>
      <c r="C202" s="27"/>
      <c r="D202" s="27"/>
      <c r="E202" s="28"/>
      <c r="F202" s="27"/>
      <c r="G202" s="27"/>
      <c r="H202" s="29"/>
      <c r="I202" s="27"/>
      <c r="J202" s="27"/>
      <c r="K202" s="30" t="str">
        <f t="shared" si="3"/>
        <v/>
      </c>
      <c r="L202" s="31">
        <f>IF(B202&lt;&gt;"Расход",0,IF(H202&lt;&gt;"",E202*H202,IFERROR(IF(VLOOKUP(D202,Категории!$A$3:$F$27,4,FALSE)="",0,E202*VLOOKUP(D202,Категории!$A$3:$F$27,4,FALSE)),0)))</f>
        <v>0</v>
      </c>
      <c r="M202" s="30" t="str">
        <f>IF(A202="","",IF(NOT(ISNUMBER(A202)),"ДАТА; ","")&amp;IF(NOT(ISNUMBER(E202)),"СУММА; ","")&amp;IF(AND(B202&lt;&gt;"",D202&lt;&gt;"",IFERROR(VLOOKUP(D202,Категории!$A$3:$B$27,2,FALSE),"")&lt;&gt;B202),"ТИП/КАТЕГОРИЯ; ","")&amp;IF(AND(B202="Доход",G202=""),"НЕТ № КВИТАНЦИИ; ","")&amp;IF(AND(B202="Расход",H202="",IFERROR(VLOOKUP(D202,Категории!$A$3:$D$27,4,FALSE),"")=""),"УКАЖИТЕ ДОЛЮ; ","")&amp;IF(COUNTIFS($A$5:$A$504,A202,$B$5:$B$504,B202,$C$5:$C$504,C202,$E$5:$E$504,E202)&gt;1,"ВОЗМОЖНЫЙ ДУБЛЬ; ","")&amp;IF(AND(A202&lt;&gt;"",A203&lt;&gt;"",A202&lt;A203),"ПОРЯДОК ДАТ; ",""))</f>
        <v/>
      </c>
      <c r="N202" s="30" t="str">
        <f>IF(A202="","",IF(Настройки_2026!$B$6="ДЕМО",1,IF(I202="ДЕМО",0,1)))</f>
        <v/>
      </c>
    </row>
    <row r="203" spans="1:14" x14ac:dyDescent="0.25">
      <c r="A203" s="26"/>
      <c r="B203" s="27"/>
      <c r="C203" s="27"/>
      <c r="D203" s="27"/>
      <c r="E203" s="28"/>
      <c r="F203" s="27"/>
      <c r="G203" s="27"/>
      <c r="H203" s="29"/>
      <c r="I203" s="27"/>
      <c r="J203" s="27"/>
      <c r="K203" s="30" t="str">
        <f t="shared" si="3"/>
        <v/>
      </c>
      <c r="L203" s="31">
        <f>IF(B203&lt;&gt;"Расход",0,IF(H203&lt;&gt;"",E203*H203,IFERROR(IF(VLOOKUP(D203,Категории!$A$3:$F$27,4,FALSE)="",0,E203*VLOOKUP(D203,Категории!$A$3:$F$27,4,FALSE)),0)))</f>
        <v>0</v>
      </c>
      <c r="M203" s="30" t="str">
        <f>IF(A203="","",IF(NOT(ISNUMBER(A203)),"ДАТА; ","")&amp;IF(NOT(ISNUMBER(E203)),"СУММА; ","")&amp;IF(AND(B203&lt;&gt;"",D203&lt;&gt;"",IFERROR(VLOOKUP(D203,Категории!$A$3:$B$27,2,FALSE),"")&lt;&gt;B203),"ТИП/КАТЕГОРИЯ; ","")&amp;IF(AND(B203="Доход",G203=""),"НЕТ № КВИТАНЦИИ; ","")&amp;IF(AND(B203="Расход",H203="",IFERROR(VLOOKUP(D203,Категории!$A$3:$D$27,4,FALSE),"")=""),"УКАЖИТЕ ДОЛЮ; ","")&amp;IF(COUNTIFS($A$5:$A$504,A203,$B$5:$B$504,B203,$C$5:$C$504,C203,$E$5:$E$504,E203)&gt;1,"ВОЗМОЖНЫЙ ДУБЛЬ; ","")&amp;IF(AND(A203&lt;&gt;"",A204&lt;&gt;"",A203&lt;A204),"ПОРЯДОК ДАТ; ",""))</f>
        <v/>
      </c>
      <c r="N203" s="30" t="str">
        <f>IF(A203="","",IF(Настройки_2026!$B$6="ДЕМО",1,IF(I203="ДЕМО",0,1)))</f>
        <v/>
      </c>
    </row>
    <row r="204" spans="1:14" x14ac:dyDescent="0.25">
      <c r="A204" s="26"/>
      <c r="B204" s="27"/>
      <c r="C204" s="27"/>
      <c r="D204" s="27"/>
      <c r="E204" s="28"/>
      <c r="F204" s="27"/>
      <c r="G204" s="27"/>
      <c r="H204" s="29"/>
      <c r="I204" s="27"/>
      <c r="J204" s="27"/>
      <c r="K204" s="30" t="str">
        <f t="shared" si="3"/>
        <v/>
      </c>
      <c r="L204" s="31">
        <f>IF(B204&lt;&gt;"Расход",0,IF(H204&lt;&gt;"",E204*H204,IFERROR(IF(VLOOKUP(D204,Категории!$A$3:$F$27,4,FALSE)="",0,E204*VLOOKUP(D204,Категории!$A$3:$F$27,4,FALSE)),0)))</f>
        <v>0</v>
      </c>
      <c r="M204" s="30" t="str">
        <f>IF(A204="","",IF(NOT(ISNUMBER(A204)),"ДАТА; ","")&amp;IF(NOT(ISNUMBER(E204)),"СУММА; ","")&amp;IF(AND(B204&lt;&gt;"",D204&lt;&gt;"",IFERROR(VLOOKUP(D204,Категории!$A$3:$B$27,2,FALSE),"")&lt;&gt;B204),"ТИП/КАТЕГОРИЯ; ","")&amp;IF(AND(B204="Доход",G204=""),"НЕТ № КВИТАНЦИИ; ","")&amp;IF(AND(B204="Расход",H204="",IFERROR(VLOOKUP(D204,Категории!$A$3:$D$27,4,FALSE),"")=""),"УКАЖИТЕ ДОЛЮ; ","")&amp;IF(COUNTIFS($A$5:$A$504,A204,$B$5:$B$504,B204,$C$5:$C$504,C204,$E$5:$E$504,E204)&gt;1,"ВОЗМОЖНЫЙ ДУБЛЬ; ","")&amp;IF(AND(A204&lt;&gt;"",A205&lt;&gt;"",A204&lt;A205),"ПОРЯДОК ДАТ; ",""))</f>
        <v/>
      </c>
      <c r="N204" s="30" t="str">
        <f>IF(A204="","",IF(Настройки_2026!$B$6="ДЕМО",1,IF(I204="ДЕМО",0,1)))</f>
        <v/>
      </c>
    </row>
    <row r="205" spans="1:14" x14ac:dyDescent="0.25">
      <c r="A205" s="26"/>
      <c r="B205" s="27"/>
      <c r="C205" s="27"/>
      <c r="D205" s="27"/>
      <c r="E205" s="28"/>
      <c r="F205" s="27"/>
      <c r="G205" s="27"/>
      <c r="H205" s="29"/>
      <c r="I205" s="27"/>
      <c r="J205" s="27"/>
      <c r="K205" s="30" t="str">
        <f t="shared" si="3"/>
        <v/>
      </c>
      <c r="L205" s="31">
        <f>IF(B205&lt;&gt;"Расход",0,IF(H205&lt;&gt;"",E205*H205,IFERROR(IF(VLOOKUP(D205,Категории!$A$3:$F$27,4,FALSE)="",0,E205*VLOOKUP(D205,Категории!$A$3:$F$27,4,FALSE)),0)))</f>
        <v>0</v>
      </c>
      <c r="M205" s="30" t="str">
        <f>IF(A205="","",IF(NOT(ISNUMBER(A205)),"ДАТА; ","")&amp;IF(NOT(ISNUMBER(E205)),"СУММА; ","")&amp;IF(AND(B205&lt;&gt;"",D205&lt;&gt;"",IFERROR(VLOOKUP(D205,Категории!$A$3:$B$27,2,FALSE),"")&lt;&gt;B205),"ТИП/КАТЕГОРИЯ; ","")&amp;IF(AND(B205="Доход",G205=""),"НЕТ № КВИТАНЦИИ; ","")&amp;IF(AND(B205="Расход",H205="",IFERROR(VLOOKUP(D205,Категории!$A$3:$D$27,4,FALSE),"")=""),"УКАЖИТЕ ДОЛЮ; ","")&amp;IF(COUNTIFS($A$5:$A$504,A205,$B$5:$B$504,B205,$C$5:$C$504,C205,$E$5:$E$504,E205)&gt;1,"ВОЗМОЖНЫЙ ДУБЛЬ; ","")&amp;IF(AND(A205&lt;&gt;"",A206&lt;&gt;"",A205&lt;A206),"ПОРЯДОК ДАТ; ",""))</f>
        <v/>
      </c>
      <c r="N205" s="30" t="str">
        <f>IF(A205="","",IF(Настройки_2026!$B$6="ДЕМО",1,IF(I205="ДЕМО",0,1)))</f>
        <v/>
      </c>
    </row>
    <row r="206" spans="1:14" x14ac:dyDescent="0.25">
      <c r="A206" s="26"/>
      <c r="B206" s="27"/>
      <c r="C206" s="27"/>
      <c r="D206" s="27"/>
      <c r="E206" s="28"/>
      <c r="F206" s="27"/>
      <c r="G206" s="27"/>
      <c r="H206" s="29"/>
      <c r="I206" s="27"/>
      <c r="J206" s="27"/>
      <c r="K206" s="30" t="str">
        <f t="shared" si="3"/>
        <v/>
      </c>
      <c r="L206" s="31">
        <f>IF(B206&lt;&gt;"Расход",0,IF(H206&lt;&gt;"",E206*H206,IFERROR(IF(VLOOKUP(D206,Категории!$A$3:$F$27,4,FALSE)="",0,E206*VLOOKUP(D206,Категории!$A$3:$F$27,4,FALSE)),0)))</f>
        <v>0</v>
      </c>
      <c r="M206" s="30" t="str">
        <f>IF(A206="","",IF(NOT(ISNUMBER(A206)),"ДАТА; ","")&amp;IF(NOT(ISNUMBER(E206)),"СУММА; ","")&amp;IF(AND(B206&lt;&gt;"",D206&lt;&gt;"",IFERROR(VLOOKUP(D206,Категории!$A$3:$B$27,2,FALSE),"")&lt;&gt;B206),"ТИП/КАТЕГОРИЯ; ","")&amp;IF(AND(B206="Доход",G206=""),"НЕТ № КВИТАНЦИИ; ","")&amp;IF(AND(B206="Расход",H206="",IFERROR(VLOOKUP(D206,Категории!$A$3:$D$27,4,FALSE),"")=""),"УКАЖИТЕ ДОЛЮ; ","")&amp;IF(COUNTIFS($A$5:$A$504,A206,$B$5:$B$504,B206,$C$5:$C$504,C206,$E$5:$E$504,E206)&gt;1,"ВОЗМОЖНЫЙ ДУБЛЬ; ","")&amp;IF(AND(A206&lt;&gt;"",A207&lt;&gt;"",A206&lt;A207),"ПОРЯДОК ДАТ; ",""))</f>
        <v/>
      </c>
      <c r="N206" s="30" t="str">
        <f>IF(A206="","",IF(Настройки_2026!$B$6="ДЕМО",1,IF(I206="ДЕМО",0,1)))</f>
        <v/>
      </c>
    </row>
    <row r="207" spans="1:14" x14ac:dyDescent="0.25">
      <c r="A207" s="26"/>
      <c r="B207" s="27"/>
      <c r="C207" s="27"/>
      <c r="D207" s="27"/>
      <c r="E207" s="28"/>
      <c r="F207" s="27"/>
      <c r="G207" s="27"/>
      <c r="H207" s="29"/>
      <c r="I207" s="27"/>
      <c r="J207" s="27"/>
      <c r="K207" s="30" t="str">
        <f t="shared" si="3"/>
        <v/>
      </c>
      <c r="L207" s="31">
        <f>IF(B207&lt;&gt;"Расход",0,IF(H207&lt;&gt;"",E207*H207,IFERROR(IF(VLOOKUP(D207,Категории!$A$3:$F$27,4,FALSE)="",0,E207*VLOOKUP(D207,Категории!$A$3:$F$27,4,FALSE)),0)))</f>
        <v>0</v>
      </c>
      <c r="M207" s="30" t="str">
        <f>IF(A207="","",IF(NOT(ISNUMBER(A207)),"ДАТА; ","")&amp;IF(NOT(ISNUMBER(E207)),"СУММА; ","")&amp;IF(AND(B207&lt;&gt;"",D207&lt;&gt;"",IFERROR(VLOOKUP(D207,Категории!$A$3:$B$27,2,FALSE),"")&lt;&gt;B207),"ТИП/КАТЕГОРИЯ; ","")&amp;IF(AND(B207="Доход",G207=""),"НЕТ № КВИТАНЦИИ; ","")&amp;IF(AND(B207="Расход",H207="",IFERROR(VLOOKUP(D207,Категории!$A$3:$D$27,4,FALSE),"")=""),"УКАЖИТЕ ДОЛЮ; ","")&amp;IF(COUNTIFS($A$5:$A$504,A207,$B$5:$B$504,B207,$C$5:$C$504,C207,$E$5:$E$504,E207)&gt;1,"ВОЗМОЖНЫЙ ДУБЛЬ; ","")&amp;IF(AND(A207&lt;&gt;"",A208&lt;&gt;"",A207&lt;A208),"ПОРЯДОК ДАТ; ",""))</f>
        <v/>
      </c>
      <c r="N207" s="30" t="str">
        <f>IF(A207="","",IF(Настройки_2026!$B$6="ДЕМО",1,IF(I207="ДЕМО",0,1)))</f>
        <v/>
      </c>
    </row>
    <row r="208" spans="1:14" x14ac:dyDescent="0.25">
      <c r="A208" s="26"/>
      <c r="B208" s="27"/>
      <c r="C208" s="27"/>
      <c r="D208" s="27"/>
      <c r="E208" s="28"/>
      <c r="F208" s="27"/>
      <c r="G208" s="27"/>
      <c r="H208" s="29"/>
      <c r="I208" s="27"/>
      <c r="J208" s="27"/>
      <c r="K208" s="30" t="str">
        <f t="shared" si="3"/>
        <v/>
      </c>
      <c r="L208" s="31">
        <f>IF(B208&lt;&gt;"Расход",0,IF(H208&lt;&gt;"",E208*H208,IFERROR(IF(VLOOKUP(D208,Категории!$A$3:$F$27,4,FALSE)="",0,E208*VLOOKUP(D208,Категории!$A$3:$F$27,4,FALSE)),0)))</f>
        <v>0</v>
      </c>
      <c r="M208" s="30" t="str">
        <f>IF(A208="","",IF(NOT(ISNUMBER(A208)),"ДАТА; ","")&amp;IF(NOT(ISNUMBER(E208)),"СУММА; ","")&amp;IF(AND(B208&lt;&gt;"",D208&lt;&gt;"",IFERROR(VLOOKUP(D208,Категории!$A$3:$B$27,2,FALSE),"")&lt;&gt;B208),"ТИП/КАТЕГОРИЯ; ","")&amp;IF(AND(B208="Доход",G208=""),"НЕТ № КВИТАНЦИИ; ","")&amp;IF(AND(B208="Расход",H208="",IFERROR(VLOOKUP(D208,Категории!$A$3:$D$27,4,FALSE),"")=""),"УКАЖИТЕ ДОЛЮ; ","")&amp;IF(COUNTIFS($A$5:$A$504,A208,$B$5:$B$504,B208,$C$5:$C$504,C208,$E$5:$E$504,E208)&gt;1,"ВОЗМОЖНЫЙ ДУБЛЬ; ","")&amp;IF(AND(A208&lt;&gt;"",A209&lt;&gt;"",A208&lt;A209),"ПОРЯДОК ДАТ; ",""))</f>
        <v/>
      </c>
      <c r="N208" s="30" t="str">
        <f>IF(A208="","",IF(Настройки_2026!$B$6="ДЕМО",1,IF(I208="ДЕМО",0,1)))</f>
        <v/>
      </c>
    </row>
    <row r="209" spans="1:14" x14ac:dyDescent="0.25">
      <c r="A209" s="26"/>
      <c r="B209" s="27"/>
      <c r="C209" s="27"/>
      <c r="D209" s="27"/>
      <c r="E209" s="28"/>
      <c r="F209" s="27"/>
      <c r="G209" s="27"/>
      <c r="H209" s="29"/>
      <c r="I209" s="27"/>
      <c r="J209" s="27"/>
      <c r="K209" s="30" t="str">
        <f t="shared" si="3"/>
        <v/>
      </c>
      <c r="L209" s="31">
        <f>IF(B209&lt;&gt;"Расход",0,IF(H209&lt;&gt;"",E209*H209,IFERROR(IF(VLOOKUP(D209,Категории!$A$3:$F$27,4,FALSE)="",0,E209*VLOOKUP(D209,Категории!$A$3:$F$27,4,FALSE)),0)))</f>
        <v>0</v>
      </c>
      <c r="M209" s="30" t="str">
        <f>IF(A209="","",IF(NOT(ISNUMBER(A209)),"ДАТА; ","")&amp;IF(NOT(ISNUMBER(E209)),"СУММА; ","")&amp;IF(AND(B209&lt;&gt;"",D209&lt;&gt;"",IFERROR(VLOOKUP(D209,Категории!$A$3:$B$27,2,FALSE),"")&lt;&gt;B209),"ТИП/КАТЕГОРИЯ; ","")&amp;IF(AND(B209="Доход",G209=""),"НЕТ № КВИТАНЦИИ; ","")&amp;IF(AND(B209="Расход",H209="",IFERROR(VLOOKUP(D209,Категории!$A$3:$D$27,4,FALSE),"")=""),"УКАЖИТЕ ДОЛЮ; ","")&amp;IF(COUNTIFS($A$5:$A$504,A209,$B$5:$B$504,B209,$C$5:$C$504,C209,$E$5:$E$504,E209)&gt;1,"ВОЗМОЖНЫЙ ДУБЛЬ; ","")&amp;IF(AND(A209&lt;&gt;"",A210&lt;&gt;"",A209&lt;A210),"ПОРЯДОК ДАТ; ",""))</f>
        <v/>
      </c>
      <c r="N209" s="30" t="str">
        <f>IF(A209="","",IF(Настройки_2026!$B$6="ДЕМО",1,IF(I209="ДЕМО",0,1)))</f>
        <v/>
      </c>
    </row>
    <row r="210" spans="1:14" x14ac:dyDescent="0.25">
      <c r="A210" s="26"/>
      <c r="B210" s="27"/>
      <c r="C210" s="27"/>
      <c r="D210" s="27"/>
      <c r="E210" s="28"/>
      <c r="F210" s="27"/>
      <c r="G210" s="27"/>
      <c r="H210" s="29"/>
      <c r="I210" s="27"/>
      <c r="J210" s="27"/>
      <c r="K210" s="30" t="str">
        <f t="shared" si="3"/>
        <v/>
      </c>
      <c r="L210" s="31">
        <f>IF(B210&lt;&gt;"Расход",0,IF(H210&lt;&gt;"",E210*H210,IFERROR(IF(VLOOKUP(D210,Категории!$A$3:$F$27,4,FALSE)="",0,E210*VLOOKUP(D210,Категории!$A$3:$F$27,4,FALSE)),0)))</f>
        <v>0</v>
      </c>
      <c r="M210" s="30" t="str">
        <f>IF(A210="","",IF(NOT(ISNUMBER(A210)),"ДАТА; ","")&amp;IF(NOT(ISNUMBER(E210)),"СУММА; ","")&amp;IF(AND(B210&lt;&gt;"",D210&lt;&gt;"",IFERROR(VLOOKUP(D210,Категории!$A$3:$B$27,2,FALSE),"")&lt;&gt;B210),"ТИП/КАТЕГОРИЯ; ","")&amp;IF(AND(B210="Доход",G210=""),"НЕТ № КВИТАНЦИИ; ","")&amp;IF(AND(B210="Расход",H210="",IFERROR(VLOOKUP(D210,Категории!$A$3:$D$27,4,FALSE),"")=""),"УКАЖИТЕ ДОЛЮ; ","")&amp;IF(COUNTIFS($A$5:$A$504,A210,$B$5:$B$504,B210,$C$5:$C$504,C210,$E$5:$E$504,E210)&gt;1,"ВОЗМОЖНЫЙ ДУБЛЬ; ","")&amp;IF(AND(A210&lt;&gt;"",A211&lt;&gt;"",A210&lt;A211),"ПОРЯДОК ДАТ; ",""))</f>
        <v/>
      </c>
      <c r="N210" s="30" t="str">
        <f>IF(A210="","",IF(Настройки_2026!$B$6="ДЕМО",1,IF(I210="ДЕМО",0,1)))</f>
        <v/>
      </c>
    </row>
    <row r="211" spans="1:14" x14ac:dyDescent="0.25">
      <c r="A211" s="26"/>
      <c r="B211" s="27"/>
      <c r="C211" s="27"/>
      <c r="D211" s="27"/>
      <c r="E211" s="28"/>
      <c r="F211" s="27"/>
      <c r="G211" s="27"/>
      <c r="H211" s="29"/>
      <c r="I211" s="27"/>
      <c r="J211" s="27"/>
      <c r="K211" s="30" t="str">
        <f t="shared" si="3"/>
        <v/>
      </c>
      <c r="L211" s="31">
        <f>IF(B211&lt;&gt;"Расход",0,IF(H211&lt;&gt;"",E211*H211,IFERROR(IF(VLOOKUP(D211,Категории!$A$3:$F$27,4,FALSE)="",0,E211*VLOOKUP(D211,Категории!$A$3:$F$27,4,FALSE)),0)))</f>
        <v>0</v>
      </c>
      <c r="M211" s="30" t="str">
        <f>IF(A211="","",IF(NOT(ISNUMBER(A211)),"ДАТА; ","")&amp;IF(NOT(ISNUMBER(E211)),"СУММА; ","")&amp;IF(AND(B211&lt;&gt;"",D211&lt;&gt;"",IFERROR(VLOOKUP(D211,Категории!$A$3:$B$27,2,FALSE),"")&lt;&gt;B211),"ТИП/КАТЕГОРИЯ; ","")&amp;IF(AND(B211="Доход",G211=""),"НЕТ № КВИТАНЦИИ; ","")&amp;IF(AND(B211="Расход",H211="",IFERROR(VLOOKUP(D211,Категории!$A$3:$D$27,4,FALSE),"")=""),"УКАЖИТЕ ДОЛЮ; ","")&amp;IF(COUNTIFS($A$5:$A$504,A211,$B$5:$B$504,B211,$C$5:$C$504,C211,$E$5:$E$504,E211)&gt;1,"ВОЗМОЖНЫЙ ДУБЛЬ; ","")&amp;IF(AND(A211&lt;&gt;"",A212&lt;&gt;"",A211&lt;A212),"ПОРЯДОК ДАТ; ",""))</f>
        <v/>
      </c>
      <c r="N211" s="30" t="str">
        <f>IF(A211="","",IF(Настройки_2026!$B$6="ДЕМО",1,IF(I211="ДЕМО",0,1)))</f>
        <v/>
      </c>
    </row>
    <row r="212" spans="1:14" x14ac:dyDescent="0.25">
      <c r="A212" s="26"/>
      <c r="B212" s="27"/>
      <c r="C212" s="27"/>
      <c r="D212" s="27"/>
      <c r="E212" s="28"/>
      <c r="F212" s="27"/>
      <c r="G212" s="27"/>
      <c r="H212" s="29"/>
      <c r="I212" s="27"/>
      <c r="J212" s="27"/>
      <c r="K212" s="30" t="str">
        <f t="shared" si="3"/>
        <v/>
      </c>
      <c r="L212" s="31">
        <f>IF(B212&lt;&gt;"Расход",0,IF(H212&lt;&gt;"",E212*H212,IFERROR(IF(VLOOKUP(D212,Категории!$A$3:$F$27,4,FALSE)="",0,E212*VLOOKUP(D212,Категории!$A$3:$F$27,4,FALSE)),0)))</f>
        <v>0</v>
      </c>
      <c r="M212" s="30" t="str">
        <f>IF(A212="","",IF(NOT(ISNUMBER(A212)),"ДАТА; ","")&amp;IF(NOT(ISNUMBER(E212)),"СУММА; ","")&amp;IF(AND(B212&lt;&gt;"",D212&lt;&gt;"",IFERROR(VLOOKUP(D212,Категории!$A$3:$B$27,2,FALSE),"")&lt;&gt;B212),"ТИП/КАТЕГОРИЯ; ","")&amp;IF(AND(B212="Доход",G212=""),"НЕТ № КВИТАНЦИИ; ","")&amp;IF(AND(B212="Расход",H212="",IFERROR(VLOOKUP(D212,Категории!$A$3:$D$27,4,FALSE),"")=""),"УКАЖИТЕ ДОЛЮ; ","")&amp;IF(COUNTIFS($A$5:$A$504,A212,$B$5:$B$504,B212,$C$5:$C$504,C212,$E$5:$E$504,E212)&gt;1,"ВОЗМОЖНЫЙ ДУБЛЬ; ","")&amp;IF(AND(A212&lt;&gt;"",A213&lt;&gt;"",A212&lt;A213),"ПОРЯДОК ДАТ; ",""))</f>
        <v/>
      </c>
      <c r="N212" s="30" t="str">
        <f>IF(A212="","",IF(Настройки_2026!$B$6="ДЕМО",1,IF(I212="ДЕМО",0,1)))</f>
        <v/>
      </c>
    </row>
    <row r="213" spans="1:14" x14ac:dyDescent="0.25">
      <c r="A213" s="26"/>
      <c r="B213" s="27"/>
      <c r="C213" s="27"/>
      <c r="D213" s="27"/>
      <c r="E213" s="28"/>
      <c r="F213" s="27"/>
      <c r="G213" s="27"/>
      <c r="H213" s="29"/>
      <c r="I213" s="27"/>
      <c r="J213" s="27"/>
      <c r="K213" s="30" t="str">
        <f t="shared" si="3"/>
        <v/>
      </c>
      <c r="L213" s="31">
        <f>IF(B213&lt;&gt;"Расход",0,IF(H213&lt;&gt;"",E213*H213,IFERROR(IF(VLOOKUP(D213,Категории!$A$3:$F$27,4,FALSE)="",0,E213*VLOOKUP(D213,Категории!$A$3:$F$27,4,FALSE)),0)))</f>
        <v>0</v>
      </c>
      <c r="M213" s="30" t="str">
        <f>IF(A213="","",IF(NOT(ISNUMBER(A213)),"ДАТА; ","")&amp;IF(NOT(ISNUMBER(E213)),"СУММА; ","")&amp;IF(AND(B213&lt;&gt;"",D213&lt;&gt;"",IFERROR(VLOOKUP(D213,Категории!$A$3:$B$27,2,FALSE),"")&lt;&gt;B213),"ТИП/КАТЕГОРИЯ; ","")&amp;IF(AND(B213="Доход",G213=""),"НЕТ № КВИТАНЦИИ; ","")&amp;IF(AND(B213="Расход",H213="",IFERROR(VLOOKUP(D213,Категории!$A$3:$D$27,4,FALSE),"")=""),"УКАЖИТЕ ДОЛЮ; ","")&amp;IF(COUNTIFS($A$5:$A$504,A213,$B$5:$B$504,B213,$C$5:$C$504,C213,$E$5:$E$504,E213)&gt;1,"ВОЗМОЖНЫЙ ДУБЛЬ; ","")&amp;IF(AND(A213&lt;&gt;"",A214&lt;&gt;"",A213&lt;A214),"ПОРЯДОК ДАТ; ",""))</f>
        <v/>
      </c>
      <c r="N213" s="30" t="str">
        <f>IF(A213="","",IF(Настройки_2026!$B$6="ДЕМО",1,IF(I213="ДЕМО",0,1)))</f>
        <v/>
      </c>
    </row>
    <row r="214" spans="1:14" x14ac:dyDescent="0.25">
      <c r="A214" s="26"/>
      <c r="B214" s="27"/>
      <c r="C214" s="27"/>
      <c r="D214" s="27"/>
      <c r="E214" s="28"/>
      <c r="F214" s="27"/>
      <c r="G214" s="27"/>
      <c r="H214" s="29"/>
      <c r="I214" s="27"/>
      <c r="J214" s="27"/>
      <c r="K214" s="30" t="str">
        <f t="shared" si="3"/>
        <v/>
      </c>
      <c r="L214" s="31">
        <f>IF(B214&lt;&gt;"Расход",0,IF(H214&lt;&gt;"",E214*H214,IFERROR(IF(VLOOKUP(D214,Категории!$A$3:$F$27,4,FALSE)="",0,E214*VLOOKUP(D214,Категории!$A$3:$F$27,4,FALSE)),0)))</f>
        <v>0</v>
      </c>
      <c r="M214" s="30" t="str">
        <f>IF(A214="","",IF(NOT(ISNUMBER(A214)),"ДАТА; ","")&amp;IF(NOT(ISNUMBER(E214)),"СУММА; ","")&amp;IF(AND(B214&lt;&gt;"",D214&lt;&gt;"",IFERROR(VLOOKUP(D214,Категории!$A$3:$B$27,2,FALSE),"")&lt;&gt;B214),"ТИП/КАТЕГОРИЯ; ","")&amp;IF(AND(B214="Доход",G214=""),"НЕТ № КВИТАНЦИИ; ","")&amp;IF(AND(B214="Расход",H214="",IFERROR(VLOOKUP(D214,Категории!$A$3:$D$27,4,FALSE),"")=""),"УКАЖИТЕ ДОЛЮ; ","")&amp;IF(COUNTIFS($A$5:$A$504,A214,$B$5:$B$504,B214,$C$5:$C$504,C214,$E$5:$E$504,E214)&gt;1,"ВОЗМОЖНЫЙ ДУБЛЬ; ","")&amp;IF(AND(A214&lt;&gt;"",A215&lt;&gt;"",A214&lt;A215),"ПОРЯДОК ДАТ; ",""))</f>
        <v/>
      </c>
      <c r="N214" s="30" t="str">
        <f>IF(A214="","",IF(Настройки_2026!$B$6="ДЕМО",1,IF(I214="ДЕМО",0,1)))</f>
        <v/>
      </c>
    </row>
    <row r="215" spans="1:14" x14ac:dyDescent="0.25">
      <c r="A215" s="26"/>
      <c r="B215" s="27"/>
      <c r="C215" s="27"/>
      <c r="D215" s="27"/>
      <c r="E215" s="28"/>
      <c r="F215" s="27"/>
      <c r="G215" s="27"/>
      <c r="H215" s="29"/>
      <c r="I215" s="27"/>
      <c r="J215" s="27"/>
      <c r="K215" s="30" t="str">
        <f t="shared" si="3"/>
        <v/>
      </c>
      <c r="L215" s="31">
        <f>IF(B215&lt;&gt;"Расход",0,IF(H215&lt;&gt;"",E215*H215,IFERROR(IF(VLOOKUP(D215,Категории!$A$3:$F$27,4,FALSE)="",0,E215*VLOOKUP(D215,Категории!$A$3:$F$27,4,FALSE)),0)))</f>
        <v>0</v>
      </c>
      <c r="M215" s="30" t="str">
        <f>IF(A215="","",IF(NOT(ISNUMBER(A215)),"ДАТА; ","")&amp;IF(NOT(ISNUMBER(E215)),"СУММА; ","")&amp;IF(AND(B215&lt;&gt;"",D215&lt;&gt;"",IFERROR(VLOOKUP(D215,Категории!$A$3:$B$27,2,FALSE),"")&lt;&gt;B215),"ТИП/КАТЕГОРИЯ; ","")&amp;IF(AND(B215="Доход",G215=""),"НЕТ № КВИТАНЦИИ; ","")&amp;IF(AND(B215="Расход",H215="",IFERROR(VLOOKUP(D215,Категории!$A$3:$D$27,4,FALSE),"")=""),"УКАЖИТЕ ДОЛЮ; ","")&amp;IF(COUNTIFS($A$5:$A$504,A215,$B$5:$B$504,B215,$C$5:$C$504,C215,$E$5:$E$504,E215)&gt;1,"ВОЗМОЖНЫЙ ДУБЛЬ; ","")&amp;IF(AND(A215&lt;&gt;"",A216&lt;&gt;"",A215&lt;A216),"ПОРЯДОК ДАТ; ",""))</f>
        <v/>
      </c>
      <c r="N215" s="30" t="str">
        <f>IF(A215="","",IF(Настройки_2026!$B$6="ДЕМО",1,IF(I215="ДЕМО",0,1)))</f>
        <v/>
      </c>
    </row>
    <row r="216" spans="1:14" x14ac:dyDescent="0.25">
      <c r="A216" s="26"/>
      <c r="B216" s="27"/>
      <c r="C216" s="27"/>
      <c r="D216" s="27"/>
      <c r="E216" s="28"/>
      <c r="F216" s="27"/>
      <c r="G216" s="27"/>
      <c r="H216" s="29"/>
      <c r="I216" s="27"/>
      <c r="J216" s="27"/>
      <c r="K216" s="30" t="str">
        <f t="shared" si="3"/>
        <v/>
      </c>
      <c r="L216" s="31">
        <f>IF(B216&lt;&gt;"Расход",0,IF(H216&lt;&gt;"",E216*H216,IFERROR(IF(VLOOKUP(D216,Категории!$A$3:$F$27,4,FALSE)="",0,E216*VLOOKUP(D216,Категории!$A$3:$F$27,4,FALSE)),0)))</f>
        <v>0</v>
      </c>
      <c r="M216" s="30" t="str">
        <f>IF(A216="","",IF(NOT(ISNUMBER(A216)),"ДАТА; ","")&amp;IF(NOT(ISNUMBER(E216)),"СУММА; ","")&amp;IF(AND(B216&lt;&gt;"",D216&lt;&gt;"",IFERROR(VLOOKUP(D216,Категории!$A$3:$B$27,2,FALSE),"")&lt;&gt;B216),"ТИП/КАТЕГОРИЯ; ","")&amp;IF(AND(B216="Доход",G216=""),"НЕТ № КВИТАНЦИИ; ","")&amp;IF(AND(B216="Расход",H216="",IFERROR(VLOOKUP(D216,Категории!$A$3:$D$27,4,FALSE),"")=""),"УКАЖИТЕ ДОЛЮ; ","")&amp;IF(COUNTIFS($A$5:$A$504,A216,$B$5:$B$504,B216,$C$5:$C$504,C216,$E$5:$E$504,E216)&gt;1,"ВОЗМОЖНЫЙ ДУБЛЬ; ","")&amp;IF(AND(A216&lt;&gt;"",A217&lt;&gt;"",A216&lt;A217),"ПОРЯДОК ДАТ; ",""))</f>
        <v/>
      </c>
      <c r="N216" s="30" t="str">
        <f>IF(A216="","",IF(Настройки_2026!$B$6="ДЕМО",1,IF(I216="ДЕМО",0,1)))</f>
        <v/>
      </c>
    </row>
    <row r="217" spans="1:14" x14ac:dyDescent="0.25">
      <c r="A217" s="26"/>
      <c r="B217" s="27"/>
      <c r="C217" s="27"/>
      <c r="D217" s="27"/>
      <c r="E217" s="28"/>
      <c r="F217" s="27"/>
      <c r="G217" s="27"/>
      <c r="H217" s="29"/>
      <c r="I217" s="27"/>
      <c r="J217" s="27"/>
      <c r="K217" s="30" t="str">
        <f t="shared" si="3"/>
        <v/>
      </c>
      <c r="L217" s="31">
        <f>IF(B217&lt;&gt;"Расход",0,IF(H217&lt;&gt;"",E217*H217,IFERROR(IF(VLOOKUP(D217,Категории!$A$3:$F$27,4,FALSE)="",0,E217*VLOOKUP(D217,Категории!$A$3:$F$27,4,FALSE)),0)))</f>
        <v>0</v>
      </c>
      <c r="M217" s="30" t="str">
        <f>IF(A217="","",IF(NOT(ISNUMBER(A217)),"ДАТА; ","")&amp;IF(NOT(ISNUMBER(E217)),"СУММА; ","")&amp;IF(AND(B217&lt;&gt;"",D217&lt;&gt;"",IFERROR(VLOOKUP(D217,Категории!$A$3:$B$27,2,FALSE),"")&lt;&gt;B217),"ТИП/КАТЕГОРИЯ; ","")&amp;IF(AND(B217="Доход",G217=""),"НЕТ № КВИТАНЦИИ; ","")&amp;IF(AND(B217="Расход",H217="",IFERROR(VLOOKUP(D217,Категории!$A$3:$D$27,4,FALSE),"")=""),"УКАЖИТЕ ДОЛЮ; ","")&amp;IF(COUNTIFS($A$5:$A$504,A217,$B$5:$B$504,B217,$C$5:$C$504,C217,$E$5:$E$504,E217)&gt;1,"ВОЗМОЖНЫЙ ДУБЛЬ; ","")&amp;IF(AND(A217&lt;&gt;"",A218&lt;&gt;"",A217&lt;A218),"ПОРЯДОК ДАТ; ",""))</f>
        <v/>
      </c>
      <c r="N217" s="30" t="str">
        <f>IF(A217="","",IF(Настройки_2026!$B$6="ДЕМО",1,IF(I217="ДЕМО",0,1)))</f>
        <v/>
      </c>
    </row>
    <row r="218" spans="1:14" x14ac:dyDescent="0.25">
      <c r="A218" s="26"/>
      <c r="B218" s="27"/>
      <c r="C218" s="27"/>
      <c r="D218" s="27"/>
      <c r="E218" s="28"/>
      <c r="F218" s="27"/>
      <c r="G218" s="27"/>
      <c r="H218" s="29"/>
      <c r="I218" s="27"/>
      <c r="J218" s="27"/>
      <c r="K218" s="30" t="str">
        <f t="shared" si="3"/>
        <v/>
      </c>
      <c r="L218" s="31">
        <f>IF(B218&lt;&gt;"Расход",0,IF(H218&lt;&gt;"",E218*H218,IFERROR(IF(VLOOKUP(D218,Категории!$A$3:$F$27,4,FALSE)="",0,E218*VLOOKUP(D218,Категории!$A$3:$F$27,4,FALSE)),0)))</f>
        <v>0</v>
      </c>
      <c r="M218" s="30" t="str">
        <f>IF(A218="","",IF(NOT(ISNUMBER(A218)),"ДАТА; ","")&amp;IF(NOT(ISNUMBER(E218)),"СУММА; ","")&amp;IF(AND(B218&lt;&gt;"",D218&lt;&gt;"",IFERROR(VLOOKUP(D218,Категории!$A$3:$B$27,2,FALSE),"")&lt;&gt;B218),"ТИП/КАТЕГОРИЯ; ","")&amp;IF(AND(B218="Доход",G218=""),"НЕТ № КВИТАНЦИИ; ","")&amp;IF(AND(B218="Расход",H218="",IFERROR(VLOOKUP(D218,Категории!$A$3:$D$27,4,FALSE),"")=""),"УКАЖИТЕ ДОЛЮ; ","")&amp;IF(COUNTIFS($A$5:$A$504,A218,$B$5:$B$504,B218,$C$5:$C$504,C218,$E$5:$E$504,E218)&gt;1,"ВОЗМОЖНЫЙ ДУБЛЬ; ","")&amp;IF(AND(A218&lt;&gt;"",A219&lt;&gt;"",A218&lt;A219),"ПОРЯДОК ДАТ; ",""))</f>
        <v/>
      </c>
      <c r="N218" s="30" t="str">
        <f>IF(A218="","",IF(Настройки_2026!$B$6="ДЕМО",1,IF(I218="ДЕМО",0,1)))</f>
        <v/>
      </c>
    </row>
    <row r="219" spans="1:14" x14ac:dyDescent="0.25">
      <c r="A219" s="26"/>
      <c r="B219" s="27"/>
      <c r="C219" s="27"/>
      <c r="D219" s="27"/>
      <c r="E219" s="28"/>
      <c r="F219" s="27"/>
      <c r="G219" s="27"/>
      <c r="H219" s="29"/>
      <c r="I219" s="27"/>
      <c r="J219" s="27"/>
      <c r="K219" s="30" t="str">
        <f t="shared" si="3"/>
        <v/>
      </c>
      <c r="L219" s="31">
        <f>IF(B219&lt;&gt;"Расход",0,IF(H219&lt;&gt;"",E219*H219,IFERROR(IF(VLOOKUP(D219,Категории!$A$3:$F$27,4,FALSE)="",0,E219*VLOOKUP(D219,Категории!$A$3:$F$27,4,FALSE)),0)))</f>
        <v>0</v>
      </c>
      <c r="M219" s="30" t="str">
        <f>IF(A219="","",IF(NOT(ISNUMBER(A219)),"ДАТА; ","")&amp;IF(NOT(ISNUMBER(E219)),"СУММА; ","")&amp;IF(AND(B219&lt;&gt;"",D219&lt;&gt;"",IFERROR(VLOOKUP(D219,Категории!$A$3:$B$27,2,FALSE),"")&lt;&gt;B219),"ТИП/КАТЕГОРИЯ; ","")&amp;IF(AND(B219="Доход",G219=""),"НЕТ № КВИТАНЦИИ; ","")&amp;IF(AND(B219="Расход",H219="",IFERROR(VLOOKUP(D219,Категории!$A$3:$D$27,4,FALSE),"")=""),"УКАЖИТЕ ДОЛЮ; ","")&amp;IF(COUNTIFS($A$5:$A$504,A219,$B$5:$B$504,B219,$C$5:$C$504,C219,$E$5:$E$504,E219)&gt;1,"ВОЗМОЖНЫЙ ДУБЛЬ; ","")&amp;IF(AND(A219&lt;&gt;"",A220&lt;&gt;"",A219&lt;A220),"ПОРЯДОК ДАТ; ",""))</f>
        <v/>
      </c>
      <c r="N219" s="30" t="str">
        <f>IF(A219="","",IF(Настройки_2026!$B$6="ДЕМО",1,IF(I219="ДЕМО",0,1)))</f>
        <v/>
      </c>
    </row>
    <row r="220" spans="1:14" x14ac:dyDescent="0.25">
      <c r="A220" s="26"/>
      <c r="B220" s="27"/>
      <c r="C220" s="27"/>
      <c r="D220" s="27"/>
      <c r="E220" s="28"/>
      <c r="F220" s="27"/>
      <c r="G220" s="27"/>
      <c r="H220" s="29"/>
      <c r="I220" s="27"/>
      <c r="J220" s="27"/>
      <c r="K220" s="30" t="str">
        <f t="shared" si="3"/>
        <v/>
      </c>
      <c r="L220" s="31">
        <f>IF(B220&lt;&gt;"Расход",0,IF(H220&lt;&gt;"",E220*H220,IFERROR(IF(VLOOKUP(D220,Категории!$A$3:$F$27,4,FALSE)="",0,E220*VLOOKUP(D220,Категории!$A$3:$F$27,4,FALSE)),0)))</f>
        <v>0</v>
      </c>
      <c r="M220" s="30" t="str">
        <f>IF(A220="","",IF(NOT(ISNUMBER(A220)),"ДАТА; ","")&amp;IF(NOT(ISNUMBER(E220)),"СУММА; ","")&amp;IF(AND(B220&lt;&gt;"",D220&lt;&gt;"",IFERROR(VLOOKUP(D220,Категории!$A$3:$B$27,2,FALSE),"")&lt;&gt;B220),"ТИП/КАТЕГОРИЯ; ","")&amp;IF(AND(B220="Доход",G220=""),"НЕТ № КВИТАНЦИИ; ","")&amp;IF(AND(B220="Расход",H220="",IFERROR(VLOOKUP(D220,Категории!$A$3:$D$27,4,FALSE),"")=""),"УКАЖИТЕ ДОЛЮ; ","")&amp;IF(COUNTIFS($A$5:$A$504,A220,$B$5:$B$504,B220,$C$5:$C$504,C220,$E$5:$E$504,E220)&gt;1,"ВОЗМОЖНЫЙ ДУБЛЬ; ","")&amp;IF(AND(A220&lt;&gt;"",A221&lt;&gt;"",A220&lt;A221),"ПОРЯДОК ДАТ; ",""))</f>
        <v/>
      </c>
      <c r="N220" s="30" t="str">
        <f>IF(A220="","",IF(Настройки_2026!$B$6="ДЕМО",1,IF(I220="ДЕМО",0,1)))</f>
        <v/>
      </c>
    </row>
    <row r="221" spans="1:14" x14ac:dyDescent="0.25">
      <c r="A221" s="26"/>
      <c r="B221" s="27"/>
      <c r="C221" s="27"/>
      <c r="D221" s="27"/>
      <c r="E221" s="28"/>
      <c r="F221" s="27"/>
      <c r="G221" s="27"/>
      <c r="H221" s="29"/>
      <c r="I221" s="27"/>
      <c r="J221" s="27"/>
      <c r="K221" s="30" t="str">
        <f t="shared" si="3"/>
        <v/>
      </c>
      <c r="L221" s="31">
        <f>IF(B221&lt;&gt;"Расход",0,IF(H221&lt;&gt;"",E221*H221,IFERROR(IF(VLOOKUP(D221,Категории!$A$3:$F$27,4,FALSE)="",0,E221*VLOOKUP(D221,Категории!$A$3:$F$27,4,FALSE)),0)))</f>
        <v>0</v>
      </c>
      <c r="M221" s="30" t="str">
        <f>IF(A221="","",IF(NOT(ISNUMBER(A221)),"ДАТА; ","")&amp;IF(NOT(ISNUMBER(E221)),"СУММА; ","")&amp;IF(AND(B221&lt;&gt;"",D221&lt;&gt;"",IFERROR(VLOOKUP(D221,Категории!$A$3:$B$27,2,FALSE),"")&lt;&gt;B221),"ТИП/КАТЕГОРИЯ; ","")&amp;IF(AND(B221="Доход",G221=""),"НЕТ № КВИТАНЦИИ; ","")&amp;IF(AND(B221="Расход",H221="",IFERROR(VLOOKUP(D221,Категории!$A$3:$D$27,4,FALSE),"")=""),"УКАЖИТЕ ДОЛЮ; ","")&amp;IF(COUNTIFS($A$5:$A$504,A221,$B$5:$B$504,B221,$C$5:$C$504,C221,$E$5:$E$504,E221)&gt;1,"ВОЗМОЖНЫЙ ДУБЛЬ; ","")&amp;IF(AND(A221&lt;&gt;"",A222&lt;&gt;"",A221&lt;A222),"ПОРЯДОК ДАТ; ",""))</f>
        <v/>
      </c>
      <c r="N221" s="30" t="str">
        <f>IF(A221="","",IF(Настройки_2026!$B$6="ДЕМО",1,IF(I221="ДЕМО",0,1)))</f>
        <v/>
      </c>
    </row>
    <row r="222" spans="1:14" x14ac:dyDescent="0.25">
      <c r="A222" s="26"/>
      <c r="B222" s="27"/>
      <c r="C222" s="27"/>
      <c r="D222" s="27"/>
      <c r="E222" s="28"/>
      <c r="F222" s="27"/>
      <c r="G222" s="27"/>
      <c r="H222" s="29"/>
      <c r="I222" s="27"/>
      <c r="J222" s="27"/>
      <c r="K222" s="30" t="str">
        <f t="shared" si="3"/>
        <v/>
      </c>
      <c r="L222" s="31">
        <f>IF(B222&lt;&gt;"Расход",0,IF(H222&lt;&gt;"",E222*H222,IFERROR(IF(VLOOKUP(D222,Категории!$A$3:$F$27,4,FALSE)="",0,E222*VLOOKUP(D222,Категории!$A$3:$F$27,4,FALSE)),0)))</f>
        <v>0</v>
      </c>
      <c r="M222" s="30" t="str">
        <f>IF(A222="","",IF(NOT(ISNUMBER(A222)),"ДАТА; ","")&amp;IF(NOT(ISNUMBER(E222)),"СУММА; ","")&amp;IF(AND(B222&lt;&gt;"",D222&lt;&gt;"",IFERROR(VLOOKUP(D222,Категории!$A$3:$B$27,2,FALSE),"")&lt;&gt;B222),"ТИП/КАТЕГОРИЯ; ","")&amp;IF(AND(B222="Доход",G222=""),"НЕТ № КВИТАНЦИИ; ","")&amp;IF(AND(B222="Расход",H222="",IFERROR(VLOOKUP(D222,Категории!$A$3:$D$27,4,FALSE),"")=""),"УКАЖИТЕ ДОЛЮ; ","")&amp;IF(COUNTIFS($A$5:$A$504,A222,$B$5:$B$504,B222,$C$5:$C$504,C222,$E$5:$E$504,E222)&gt;1,"ВОЗМОЖНЫЙ ДУБЛЬ; ","")&amp;IF(AND(A222&lt;&gt;"",A223&lt;&gt;"",A222&lt;A223),"ПОРЯДОК ДАТ; ",""))</f>
        <v/>
      </c>
      <c r="N222" s="30" t="str">
        <f>IF(A222="","",IF(Настройки_2026!$B$6="ДЕМО",1,IF(I222="ДЕМО",0,1)))</f>
        <v/>
      </c>
    </row>
    <row r="223" spans="1:14" x14ac:dyDescent="0.25">
      <c r="A223" s="26"/>
      <c r="B223" s="27"/>
      <c r="C223" s="27"/>
      <c r="D223" s="27"/>
      <c r="E223" s="28"/>
      <c r="F223" s="27"/>
      <c r="G223" s="27"/>
      <c r="H223" s="29"/>
      <c r="I223" s="27"/>
      <c r="J223" s="27"/>
      <c r="K223" s="30" t="str">
        <f t="shared" si="3"/>
        <v/>
      </c>
      <c r="L223" s="31">
        <f>IF(B223&lt;&gt;"Расход",0,IF(H223&lt;&gt;"",E223*H223,IFERROR(IF(VLOOKUP(D223,Категории!$A$3:$F$27,4,FALSE)="",0,E223*VLOOKUP(D223,Категории!$A$3:$F$27,4,FALSE)),0)))</f>
        <v>0</v>
      </c>
      <c r="M223" s="30" t="str">
        <f>IF(A223="","",IF(NOT(ISNUMBER(A223)),"ДАТА; ","")&amp;IF(NOT(ISNUMBER(E223)),"СУММА; ","")&amp;IF(AND(B223&lt;&gt;"",D223&lt;&gt;"",IFERROR(VLOOKUP(D223,Категории!$A$3:$B$27,2,FALSE),"")&lt;&gt;B223),"ТИП/КАТЕГОРИЯ; ","")&amp;IF(AND(B223="Доход",G223=""),"НЕТ № КВИТАНЦИИ; ","")&amp;IF(AND(B223="Расход",H223="",IFERROR(VLOOKUP(D223,Категории!$A$3:$D$27,4,FALSE),"")=""),"УКАЖИТЕ ДОЛЮ; ","")&amp;IF(COUNTIFS($A$5:$A$504,A223,$B$5:$B$504,B223,$C$5:$C$504,C223,$E$5:$E$504,E223)&gt;1,"ВОЗМОЖНЫЙ ДУБЛЬ; ","")&amp;IF(AND(A223&lt;&gt;"",A224&lt;&gt;"",A223&lt;A224),"ПОРЯДОК ДАТ; ",""))</f>
        <v/>
      </c>
      <c r="N223" s="30" t="str">
        <f>IF(A223="","",IF(Настройки_2026!$B$6="ДЕМО",1,IF(I223="ДЕМО",0,1)))</f>
        <v/>
      </c>
    </row>
    <row r="224" spans="1:14" x14ac:dyDescent="0.25">
      <c r="A224" s="26"/>
      <c r="B224" s="27"/>
      <c r="C224" s="27"/>
      <c r="D224" s="27"/>
      <c r="E224" s="28"/>
      <c r="F224" s="27"/>
      <c r="G224" s="27"/>
      <c r="H224" s="29"/>
      <c r="I224" s="27"/>
      <c r="J224" s="27"/>
      <c r="K224" s="30" t="str">
        <f t="shared" si="3"/>
        <v/>
      </c>
      <c r="L224" s="31">
        <f>IF(B224&lt;&gt;"Расход",0,IF(H224&lt;&gt;"",E224*H224,IFERROR(IF(VLOOKUP(D224,Категории!$A$3:$F$27,4,FALSE)="",0,E224*VLOOKUP(D224,Категории!$A$3:$F$27,4,FALSE)),0)))</f>
        <v>0</v>
      </c>
      <c r="M224" s="30" t="str">
        <f>IF(A224="","",IF(NOT(ISNUMBER(A224)),"ДАТА; ","")&amp;IF(NOT(ISNUMBER(E224)),"СУММА; ","")&amp;IF(AND(B224&lt;&gt;"",D224&lt;&gt;"",IFERROR(VLOOKUP(D224,Категории!$A$3:$B$27,2,FALSE),"")&lt;&gt;B224),"ТИП/КАТЕГОРИЯ; ","")&amp;IF(AND(B224="Доход",G224=""),"НЕТ № КВИТАНЦИИ; ","")&amp;IF(AND(B224="Расход",H224="",IFERROR(VLOOKUP(D224,Категории!$A$3:$D$27,4,FALSE),"")=""),"УКАЖИТЕ ДОЛЮ; ","")&amp;IF(COUNTIFS($A$5:$A$504,A224,$B$5:$B$504,B224,$C$5:$C$504,C224,$E$5:$E$504,E224)&gt;1,"ВОЗМОЖНЫЙ ДУБЛЬ; ","")&amp;IF(AND(A224&lt;&gt;"",A225&lt;&gt;"",A224&lt;A225),"ПОРЯДОК ДАТ; ",""))</f>
        <v/>
      </c>
      <c r="N224" s="30" t="str">
        <f>IF(A224="","",IF(Настройки_2026!$B$6="ДЕМО",1,IF(I224="ДЕМО",0,1)))</f>
        <v/>
      </c>
    </row>
    <row r="225" spans="1:14" x14ac:dyDescent="0.25">
      <c r="A225" s="26"/>
      <c r="B225" s="27"/>
      <c r="C225" s="27"/>
      <c r="D225" s="27"/>
      <c r="E225" s="28"/>
      <c r="F225" s="27"/>
      <c r="G225" s="27"/>
      <c r="H225" s="29"/>
      <c r="I225" s="27"/>
      <c r="J225" s="27"/>
      <c r="K225" s="30" t="str">
        <f t="shared" si="3"/>
        <v/>
      </c>
      <c r="L225" s="31">
        <f>IF(B225&lt;&gt;"Расход",0,IF(H225&lt;&gt;"",E225*H225,IFERROR(IF(VLOOKUP(D225,Категории!$A$3:$F$27,4,FALSE)="",0,E225*VLOOKUP(D225,Категории!$A$3:$F$27,4,FALSE)),0)))</f>
        <v>0</v>
      </c>
      <c r="M225" s="30" t="str">
        <f>IF(A225="","",IF(NOT(ISNUMBER(A225)),"ДАТА; ","")&amp;IF(NOT(ISNUMBER(E225)),"СУММА; ","")&amp;IF(AND(B225&lt;&gt;"",D225&lt;&gt;"",IFERROR(VLOOKUP(D225,Категории!$A$3:$B$27,2,FALSE),"")&lt;&gt;B225),"ТИП/КАТЕГОРИЯ; ","")&amp;IF(AND(B225="Доход",G225=""),"НЕТ № КВИТАНЦИИ; ","")&amp;IF(AND(B225="Расход",H225="",IFERROR(VLOOKUP(D225,Категории!$A$3:$D$27,4,FALSE),"")=""),"УКАЖИТЕ ДОЛЮ; ","")&amp;IF(COUNTIFS($A$5:$A$504,A225,$B$5:$B$504,B225,$C$5:$C$504,C225,$E$5:$E$504,E225)&gt;1,"ВОЗМОЖНЫЙ ДУБЛЬ; ","")&amp;IF(AND(A225&lt;&gt;"",A226&lt;&gt;"",A225&lt;A226),"ПОРЯДОК ДАТ; ",""))</f>
        <v/>
      </c>
      <c r="N225" s="30" t="str">
        <f>IF(A225="","",IF(Настройки_2026!$B$6="ДЕМО",1,IF(I225="ДЕМО",0,1)))</f>
        <v/>
      </c>
    </row>
    <row r="226" spans="1:14" x14ac:dyDescent="0.25">
      <c r="A226" s="26"/>
      <c r="B226" s="27"/>
      <c r="C226" s="27"/>
      <c r="D226" s="27"/>
      <c r="E226" s="28"/>
      <c r="F226" s="27"/>
      <c r="G226" s="27"/>
      <c r="H226" s="29"/>
      <c r="I226" s="27"/>
      <c r="J226" s="27"/>
      <c r="K226" s="30" t="str">
        <f t="shared" si="3"/>
        <v/>
      </c>
      <c r="L226" s="31">
        <f>IF(B226&lt;&gt;"Расход",0,IF(H226&lt;&gt;"",E226*H226,IFERROR(IF(VLOOKUP(D226,Категории!$A$3:$F$27,4,FALSE)="",0,E226*VLOOKUP(D226,Категории!$A$3:$F$27,4,FALSE)),0)))</f>
        <v>0</v>
      </c>
      <c r="M226" s="30" t="str">
        <f>IF(A226="","",IF(NOT(ISNUMBER(A226)),"ДАТА; ","")&amp;IF(NOT(ISNUMBER(E226)),"СУММА; ","")&amp;IF(AND(B226&lt;&gt;"",D226&lt;&gt;"",IFERROR(VLOOKUP(D226,Категории!$A$3:$B$27,2,FALSE),"")&lt;&gt;B226),"ТИП/КАТЕГОРИЯ; ","")&amp;IF(AND(B226="Доход",G226=""),"НЕТ № КВИТАНЦИИ; ","")&amp;IF(AND(B226="Расход",H226="",IFERROR(VLOOKUP(D226,Категории!$A$3:$D$27,4,FALSE),"")=""),"УКАЖИТЕ ДОЛЮ; ","")&amp;IF(COUNTIFS($A$5:$A$504,A226,$B$5:$B$504,B226,$C$5:$C$504,C226,$E$5:$E$504,E226)&gt;1,"ВОЗМОЖНЫЙ ДУБЛЬ; ","")&amp;IF(AND(A226&lt;&gt;"",A227&lt;&gt;"",A226&lt;A227),"ПОРЯДОК ДАТ; ",""))</f>
        <v/>
      </c>
      <c r="N226" s="30" t="str">
        <f>IF(A226="","",IF(Настройки_2026!$B$6="ДЕМО",1,IF(I226="ДЕМО",0,1)))</f>
        <v/>
      </c>
    </row>
    <row r="227" spans="1:14" x14ac:dyDescent="0.25">
      <c r="A227" s="26"/>
      <c r="B227" s="27"/>
      <c r="C227" s="27"/>
      <c r="D227" s="27"/>
      <c r="E227" s="28"/>
      <c r="F227" s="27"/>
      <c r="G227" s="27"/>
      <c r="H227" s="29"/>
      <c r="I227" s="27"/>
      <c r="J227" s="27"/>
      <c r="K227" s="30" t="str">
        <f t="shared" si="3"/>
        <v/>
      </c>
      <c r="L227" s="31">
        <f>IF(B227&lt;&gt;"Расход",0,IF(H227&lt;&gt;"",E227*H227,IFERROR(IF(VLOOKUP(D227,Категории!$A$3:$F$27,4,FALSE)="",0,E227*VLOOKUP(D227,Категории!$A$3:$F$27,4,FALSE)),0)))</f>
        <v>0</v>
      </c>
      <c r="M227" s="30" t="str">
        <f>IF(A227="","",IF(NOT(ISNUMBER(A227)),"ДАТА; ","")&amp;IF(NOT(ISNUMBER(E227)),"СУММА; ","")&amp;IF(AND(B227&lt;&gt;"",D227&lt;&gt;"",IFERROR(VLOOKUP(D227,Категории!$A$3:$B$27,2,FALSE),"")&lt;&gt;B227),"ТИП/КАТЕГОРИЯ; ","")&amp;IF(AND(B227="Доход",G227=""),"НЕТ № КВИТАНЦИИ; ","")&amp;IF(AND(B227="Расход",H227="",IFERROR(VLOOKUP(D227,Категории!$A$3:$D$27,4,FALSE),"")=""),"УКАЖИТЕ ДОЛЮ; ","")&amp;IF(COUNTIFS($A$5:$A$504,A227,$B$5:$B$504,B227,$C$5:$C$504,C227,$E$5:$E$504,E227)&gt;1,"ВОЗМОЖНЫЙ ДУБЛЬ; ","")&amp;IF(AND(A227&lt;&gt;"",A228&lt;&gt;"",A227&lt;A228),"ПОРЯДОК ДАТ; ",""))</f>
        <v/>
      </c>
      <c r="N227" s="30" t="str">
        <f>IF(A227="","",IF(Настройки_2026!$B$6="ДЕМО",1,IF(I227="ДЕМО",0,1)))</f>
        <v/>
      </c>
    </row>
    <row r="228" spans="1:14" x14ac:dyDescent="0.25">
      <c r="A228" s="26"/>
      <c r="B228" s="27"/>
      <c r="C228" s="27"/>
      <c r="D228" s="27"/>
      <c r="E228" s="28"/>
      <c r="F228" s="27"/>
      <c r="G228" s="27"/>
      <c r="H228" s="29"/>
      <c r="I228" s="27"/>
      <c r="J228" s="27"/>
      <c r="K228" s="30" t="str">
        <f t="shared" si="3"/>
        <v/>
      </c>
      <c r="L228" s="31">
        <f>IF(B228&lt;&gt;"Расход",0,IF(H228&lt;&gt;"",E228*H228,IFERROR(IF(VLOOKUP(D228,Категории!$A$3:$F$27,4,FALSE)="",0,E228*VLOOKUP(D228,Категории!$A$3:$F$27,4,FALSE)),0)))</f>
        <v>0</v>
      </c>
      <c r="M228" s="30" t="str">
        <f>IF(A228="","",IF(NOT(ISNUMBER(A228)),"ДАТА; ","")&amp;IF(NOT(ISNUMBER(E228)),"СУММА; ","")&amp;IF(AND(B228&lt;&gt;"",D228&lt;&gt;"",IFERROR(VLOOKUP(D228,Категории!$A$3:$B$27,2,FALSE),"")&lt;&gt;B228),"ТИП/КАТЕГОРИЯ; ","")&amp;IF(AND(B228="Доход",G228=""),"НЕТ № КВИТАНЦИИ; ","")&amp;IF(AND(B228="Расход",H228="",IFERROR(VLOOKUP(D228,Категории!$A$3:$D$27,4,FALSE),"")=""),"УКАЖИТЕ ДОЛЮ; ","")&amp;IF(COUNTIFS($A$5:$A$504,A228,$B$5:$B$504,B228,$C$5:$C$504,C228,$E$5:$E$504,E228)&gt;1,"ВОЗМОЖНЫЙ ДУБЛЬ; ","")&amp;IF(AND(A228&lt;&gt;"",A229&lt;&gt;"",A228&lt;A229),"ПОРЯДОК ДАТ; ",""))</f>
        <v/>
      </c>
      <c r="N228" s="30" t="str">
        <f>IF(A228="","",IF(Настройки_2026!$B$6="ДЕМО",1,IF(I228="ДЕМО",0,1)))</f>
        <v/>
      </c>
    </row>
    <row r="229" spans="1:14" x14ac:dyDescent="0.25">
      <c r="A229" s="26"/>
      <c r="B229" s="27"/>
      <c r="C229" s="27"/>
      <c r="D229" s="27"/>
      <c r="E229" s="28"/>
      <c r="F229" s="27"/>
      <c r="G229" s="27"/>
      <c r="H229" s="29"/>
      <c r="I229" s="27"/>
      <c r="J229" s="27"/>
      <c r="K229" s="30" t="str">
        <f t="shared" si="3"/>
        <v/>
      </c>
      <c r="L229" s="31">
        <f>IF(B229&lt;&gt;"Расход",0,IF(H229&lt;&gt;"",E229*H229,IFERROR(IF(VLOOKUP(D229,Категории!$A$3:$F$27,4,FALSE)="",0,E229*VLOOKUP(D229,Категории!$A$3:$F$27,4,FALSE)),0)))</f>
        <v>0</v>
      </c>
      <c r="M229" s="30" t="str">
        <f>IF(A229="","",IF(NOT(ISNUMBER(A229)),"ДАТА; ","")&amp;IF(NOT(ISNUMBER(E229)),"СУММА; ","")&amp;IF(AND(B229&lt;&gt;"",D229&lt;&gt;"",IFERROR(VLOOKUP(D229,Категории!$A$3:$B$27,2,FALSE),"")&lt;&gt;B229),"ТИП/КАТЕГОРИЯ; ","")&amp;IF(AND(B229="Доход",G229=""),"НЕТ № КВИТАНЦИИ; ","")&amp;IF(AND(B229="Расход",H229="",IFERROR(VLOOKUP(D229,Категории!$A$3:$D$27,4,FALSE),"")=""),"УКАЖИТЕ ДОЛЮ; ","")&amp;IF(COUNTIFS($A$5:$A$504,A229,$B$5:$B$504,B229,$C$5:$C$504,C229,$E$5:$E$504,E229)&gt;1,"ВОЗМОЖНЫЙ ДУБЛЬ; ","")&amp;IF(AND(A229&lt;&gt;"",A230&lt;&gt;"",A229&lt;A230),"ПОРЯДОК ДАТ; ",""))</f>
        <v/>
      </c>
      <c r="N229" s="30" t="str">
        <f>IF(A229="","",IF(Настройки_2026!$B$6="ДЕМО",1,IF(I229="ДЕМО",0,1)))</f>
        <v/>
      </c>
    </row>
    <row r="230" spans="1:14" x14ac:dyDescent="0.25">
      <c r="A230" s="26"/>
      <c r="B230" s="27"/>
      <c r="C230" s="27"/>
      <c r="D230" s="27"/>
      <c r="E230" s="28"/>
      <c r="F230" s="27"/>
      <c r="G230" s="27"/>
      <c r="H230" s="29"/>
      <c r="I230" s="27"/>
      <c r="J230" s="27"/>
      <c r="K230" s="30" t="str">
        <f t="shared" si="3"/>
        <v/>
      </c>
      <c r="L230" s="31">
        <f>IF(B230&lt;&gt;"Расход",0,IF(H230&lt;&gt;"",E230*H230,IFERROR(IF(VLOOKUP(D230,Категории!$A$3:$F$27,4,FALSE)="",0,E230*VLOOKUP(D230,Категории!$A$3:$F$27,4,FALSE)),0)))</f>
        <v>0</v>
      </c>
      <c r="M230" s="30" t="str">
        <f>IF(A230="","",IF(NOT(ISNUMBER(A230)),"ДАТА; ","")&amp;IF(NOT(ISNUMBER(E230)),"СУММА; ","")&amp;IF(AND(B230&lt;&gt;"",D230&lt;&gt;"",IFERROR(VLOOKUP(D230,Категории!$A$3:$B$27,2,FALSE),"")&lt;&gt;B230),"ТИП/КАТЕГОРИЯ; ","")&amp;IF(AND(B230="Доход",G230=""),"НЕТ № КВИТАНЦИИ; ","")&amp;IF(AND(B230="Расход",H230="",IFERROR(VLOOKUP(D230,Категории!$A$3:$D$27,4,FALSE),"")=""),"УКАЖИТЕ ДОЛЮ; ","")&amp;IF(COUNTIFS($A$5:$A$504,A230,$B$5:$B$504,B230,$C$5:$C$504,C230,$E$5:$E$504,E230)&gt;1,"ВОЗМОЖНЫЙ ДУБЛЬ; ","")&amp;IF(AND(A230&lt;&gt;"",A231&lt;&gt;"",A230&lt;A231),"ПОРЯДОК ДАТ; ",""))</f>
        <v/>
      </c>
      <c r="N230" s="30" t="str">
        <f>IF(A230="","",IF(Настройки_2026!$B$6="ДЕМО",1,IF(I230="ДЕМО",0,1)))</f>
        <v/>
      </c>
    </row>
    <row r="231" spans="1:14" x14ac:dyDescent="0.25">
      <c r="A231" s="26"/>
      <c r="B231" s="27"/>
      <c r="C231" s="27"/>
      <c r="D231" s="27"/>
      <c r="E231" s="28"/>
      <c r="F231" s="27"/>
      <c r="G231" s="27"/>
      <c r="H231" s="29"/>
      <c r="I231" s="27"/>
      <c r="J231" s="27"/>
      <c r="K231" s="30" t="str">
        <f t="shared" si="3"/>
        <v/>
      </c>
      <c r="L231" s="31">
        <f>IF(B231&lt;&gt;"Расход",0,IF(H231&lt;&gt;"",E231*H231,IFERROR(IF(VLOOKUP(D231,Категории!$A$3:$F$27,4,FALSE)="",0,E231*VLOOKUP(D231,Категории!$A$3:$F$27,4,FALSE)),0)))</f>
        <v>0</v>
      </c>
      <c r="M231" s="30" t="str">
        <f>IF(A231="","",IF(NOT(ISNUMBER(A231)),"ДАТА; ","")&amp;IF(NOT(ISNUMBER(E231)),"СУММА; ","")&amp;IF(AND(B231&lt;&gt;"",D231&lt;&gt;"",IFERROR(VLOOKUP(D231,Категории!$A$3:$B$27,2,FALSE),"")&lt;&gt;B231),"ТИП/КАТЕГОРИЯ; ","")&amp;IF(AND(B231="Доход",G231=""),"НЕТ № КВИТАНЦИИ; ","")&amp;IF(AND(B231="Расход",H231="",IFERROR(VLOOKUP(D231,Категории!$A$3:$D$27,4,FALSE),"")=""),"УКАЖИТЕ ДОЛЮ; ","")&amp;IF(COUNTIFS($A$5:$A$504,A231,$B$5:$B$504,B231,$C$5:$C$504,C231,$E$5:$E$504,E231)&gt;1,"ВОЗМОЖНЫЙ ДУБЛЬ; ","")&amp;IF(AND(A231&lt;&gt;"",A232&lt;&gt;"",A231&lt;A232),"ПОРЯДОК ДАТ; ",""))</f>
        <v/>
      </c>
      <c r="N231" s="30" t="str">
        <f>IF(A231="","",IF(Настройки_2026!$B$6="ДЕМО",1,IF(I231="ДЕМО",0,1)))</f>
        <v/>
      </c>
    </row>
    <row r="232" spans="1:14" x14ac:dyDescent="0.25">
      <c r="A232" s="26"/>
      <c r="B232" s="27"/>
      <c r="C232" s="27"/>
      <c r="D232" s="27"/>
      <c r="E232" s="28"/>
      <c r="F232" s="27"/>
      <c r="G232" s="27"/>
      <c r="H232" s="29"/>
      <c r="I232" s="27"/>
      <c r="J232" s="27"/>
      <c r="K232" s="30" t="str">
        <f t="shared" si="3"/>
        <v/>
      </c>
      <c r="L232" s="31">
        <f>IF(B232&lt;&gt;"Расход",0,IF(H232&lt;&gt;"",E232*H232,IFERROR(IF(VLOOKUP(D232,Категории!$A$3:$F$27,4,FALSE)="",0,E232*VLOOKUP(D232,Категории!$A$3:$F$27,4,FALSE)),0)))</f>
        <v>0</v>
      </c>
      <c r="M232" s="30" t="str">
        <f>IF(A232="","",IF(NOT(ISNUMBER(A232)),"ДАТА; ","")&amp;IF(NOT(ISNUMBER(E232)),"СУММА; ","")&amp;IF(AND(B232&lt;&gt;"",D232&lt;&gt;"",IFERROR(VLOOKUP(D232,Категории!$A$3:$B$27,2,FALSE),"")&lt;&gt;B232),"ТИП/КАТЕГОРИЯ; ","")&amp;IF(AND(B232="Доход",G232=""),"НЕТ № КВИТАНЦИИ; ","")&amp;IF(AND(B232="Расход",H232="",IFERROR(VLOOKUP(D232,Категории!$A$3:$D$27,4,FALSE),"")=""),"УКАЖИТЕ ДОЛЮ; ","")&amp;IF(COUNTIFS($A$5:$A$504,A232,$B$5:$B$504,B232,$C$5:$C$504,C232,$E$5:$E$504,E232)&gt;1,"ВОЗМОЖНЫЙ ДУБЛЬ; ","")&amp;IF(AND(A232&lt;&gt;"",A233&lt;&gt;"",A232&lt;A233),"ПОРЯДОК ДАТ; ",""))</f>
        <v/>
      </c>
      <c r="N232" s="30" t="str">
        <f>IF(A232="","",IF(Настройки_2026!$B$6="ДЕМО",1,IF(I232="ДЕМО",0,1)))</f>
        <v/>
      </c>
    </row>
    <row r="233" spans="1:14" x14ac:dyDescent="0.25">
      <c r="A233" s="26"/>
      <c r="B233" s="27"/>
      <c r="C233" s="27"/>
      <c r="D233" s="27"/>
      <c r="E233" s="28"/>
      <c r="F233" s="27"/>
      <c r="G233" s="27"/>
      <c r="H233" s="29"/>
      <c r="I233" s="27"/>
      <c r="J233" s="27"/>
      <c r="K233" s="30" t="str">
        <f t="shared" si="3"/>
        <v/>
      </c>
      <c r="L233" s="31">
        <f>IF(B233&lt;&gt;"Расход",0,IF(H233&lt;&gt;"",E233*H233,IFERROR(IF(VLOOKUP(D233,Категории!$A$3:$F$27,4,FALSE)="",0,E233*VLOOKUP(D233,Категории!$A$3:$F$27,4,FALSE)),0)))</f>
        <v>0</v>
      </c>
      <c r="M233" s="30" t="str">
        <f>IF(A233="","",IF(NOT(ISNUMBER(A233)),"ДАТА; ","")&amp;IF(NOT(ISNUMBER(E233)),"СУММА; ","")&amp;IF(AND(B233&lt;&gt;"",D233&lt;&gt;"",IFERROR(VLOOKUP(D233,Категории!$A$3:$B$27,2,FALSE),"")&lt;&gt;B233),"ТИП/КАТЕГОРИЯ; ","")&amp;IF(AND(B233="Доход",G233=""),"НЕТ № КВИТАНЦИИ; ","")&amp;IF(AND(B233="Расход",H233="",IFERROR(VLOOKUP(D233,Категории!$A$3:$D$27,4,FALSE),"")=""),"УКАЖИТЕ ДОЛЮ; ","")&amp;IF(COUNTIFS($A$5:$A$504,A233,$B$5:$B$504,B233,$C$5:$C$504,C233,$E$5:$E$504,E233)&gt;1,"ВОЗМОЖНЫЙ ДУБЛЬ; ","")&amp;IF(AND(A233&lt;&gt;"",A234&lt;&gt;"",A233&lt;A234),"ПОРЯДОК ДАТ; ",""))</f>
        <v/>
      </c>
      <c r="N233" s="30" t="str">
        <f>IF(A233="","",IF(Настройки_2026!$B$6="ДЕМО",1,IF(I233="ДЕМО",0,1)))</f>
        <v/>
      </c>
    </row>
    <row r="234" spans="1:14" x14ac:dyDescent="0.25">
      <c r="A234" s="26"/>
      <c r="B234" s="27"/>
      <c r="C234" s="27"/>
      <c r="D234" s="27"/>
      <c r="E234" s="28"/>
      <c r="F234" s="27"/>
      <c r="G234" s="27"/>
      <c r="H234" s="29"/>
      <c r="I234" s="27"/>
      <c r="J234" s="27"/>
      <c r="K234" s="30" t="str">
        <f t="shared" si="3"/>
        <v/>
      </c>
      <c r="L234" s="31">
        <f>IF(B234&lt;&gt;"Расход",0,IF(H234&lt;&gt;"",E234*H234,IFERROR(IF(VLOOKUP(D234,Категории!$A$3:$F$27,4,FALSE)="",0,E234*VLOOKUP(D234,Категории!$A$3:$F$27,4,FALSE)),0)))</f>
        <v>0</v>
      </c>
      <c r="M234" s="30" t="str">
        <f>IF(A234="","",IF(NOT(ISNUMBER(A234)),"ДАТА; ","")&amp;IF(NOT(ISNUMBER(E234)),"СУММА; ","")&amp;IF(AND(B234&lt;&gt;"",D234&lt;&gt;"",IFERROR(VLOOKUP(D234,Категории!$A$3:$B$27,2,FALSE),"")&lt;&gt;B234),"ТИП/КАТЕГОРИЯ; ","")&amp;IF(AND(B234="Доход",G234=""),"НЕТ № КВИТАНЦИИ; ","")&amp;IF(AND(B234="Расход",H234="",IFERROR(VLOOKUP(D234,Категории!$A$3:$D$27,4,FALSE),"")=""),"УКАЖИТЕ ДОЛЮ; ","")&amp;IF(COUNTIFS($A$5:$A$504,A234,$B$5:$B$504,B234,$C$5:$C$504,C234,$E$5:$E$504,E234)&gt;1,"ВОЗМОЖНЫЙ ДУБЛЬ; ","")&amp;IF(AND(A234&lt;&gt;"",A235&lt;&gt;"",A234&lt;A235),"ПОРЯДОК ДАТ; ",""))</f>
        <v/>
      </c>
      <c r="N234" s="30" t="str">
        <f>IF(A234="","",IF(Настройки_2026!$B$6="ДЕМО",1,IF(I234="ДЕМО",0,1)))</f>
        <v/>
      </c>
    </row>
    <row r="235" spans="1:14" x14ac:dyDescent="0.25">
      <c r="A235" s="26"/>
      <c r="B235" s="27"/>
      <c r="C235" s="27"/>
      <c r="D235" s="27"/>
      <c r="E235" s="28"/>
      <c r="F235" s="27"/>
      <c r="G235" s="27"/>
      <c r="H235" s="29"/>
      <c r="I235" s="27"/>
      <c r="J235" s="27"/>
      <c r="K235" s="30" t="str">
        <f t="shared" si="3"/>
        <v/>
      </c>
      <c r="L235" s="31">
        <f>IF(B235&lt;&gt;"Расход",0,IF(H235&lt;&gt;"",E235*H235,IFERROR(IF(VLOOKUP(D235,Категории!$A$3:$F$27,4,FALSE)="",0,E235*VLOOKUP(D235,Категории!$A$3:$F$27,4,FALSE)),0)))</f>
        <v>0</v>
      </c>
      <c r="M235" s="30" t="str">
        <f>IF(A235="","",IF(NOT(ISNUMBER(A235)),"ДАТА; ","")&amp;IF(NOT(ISNUMBER(E235)),"СУММА; ","")&amp;IF(AND(B235&lt;&gt;"",D235&lt;&gt;"",IFERROR(VLOOKUP(D235,Категории!$A$3:$B$27,2,FALSE),"")&lt;&gt;B235),"ТИП/КАТЕГОРИЯ; ","")&amp;IF(AND(B235="Доход",G235=""),"НЕТ № КВИТАНЦИИ; ","")&amp;IF(AND(B235="Расход",H235="",IFERROR(VLOOKUP(D235,Категории!$A$3:$D$27,4,FALSE),"")=""),"УКАЖИТЕ ДОЛЮ; ","")&amp;IF(COUNTIFS($A$5:$A$504,A235,$B$5:$B$504,B235,$C$5:$C$504,C235,$E$5:$E$504,E235)&gt;1,"ВОЗМОЖНЫЙ ДУБЛЬ; ","")&amp;IF(AND(A235&lt;&gt;"",A236&lt;&gt;"",A235&lt;A236),"ПОРЯДОК ДАТ; ",""))</f>
        <v/>
      </c>
      <c r="N235" s="30" t="str">
        <f>IF(A235="","",IF(Настройки_2026!$B$6="ДЕМО",1,IF(I235="ДЕМО",0,1)))</f>
        <v/>
      </c>
    </row>
    <row r="236" spans="1:14" x14ac:dyDescent="0.25">
      <c r="A236" s="26"/>
      <c r="B236" s="27"/>
      <c r="C236" s="27"/>
      <c r="D236" s="27"/>
      <c r="E236" s="28"/>
      <c r="F236" s="27"/>
      <c r="G236" s="27"/>
      <c r="H236" s="29"/>
      <c r="I236" s="27"/>
      <c r="J236" s="27"/>
      <c r="K236" s="30" t="str">
        <f t="shared" si="3"/>
        <v/>
      </c>
      <c r="L236" s="31">
        <f>IF(B236&lt;&gt;"Расход",0,IF(H236&lt;&gt;"",E236*H236,IFERROR(IF(VLOOKUP(D236,Категории!$A$3:$F$27,4,FALSE)="",0,E236*VLOOKUP(D236,Категории!$A$3:$F$27,4,FALSE)),0)))</f>
        <v>0</v>
      </c>
      <c r="M236" s="30" t="str">
        <f>IF(A236="","",IF(NOT(ISNUMBER(A236)),"ДАТА; ","")&amp;IF(NOT(ISNUMBER(E236)),"СУММА; ","")&amp;IF(AND(B236&lt;&gt;"",D236&lt;&gt;"",IFERROR(VLOOKUP(D236,Категории!$A$3:$B$27,2,FALSE),"")&lt;&gt;B236),"ТИП/КАТЕГОРИЯ; ","")&amp;IF(AND(B236="Доход",G236=""),"НЕТ № КВИТАНЦИИ; ","")&amp;IF(AND(B236="Расход",H236="",IFERROR(VLOOKUP(D236,Категории!$A$3:$D$27,4,FALSE),"")=""),"УКАЖИТЕ ДОЛЮ; ","")&amp;IF(COUNTIFS($A$5:$A$504,A236,$B$5:$B$504,B236,$C$5:$C$504,C236,$E$5:$E$504,E236)&gt;1,"ВОЗМОЖНЫЙ ДУБЛЬ; ","")&amp;IF(AND(A236&lt;&gt;"",A237&lt;&gt;"",A236&lt;A237),"ПОРЯДОК ДАТ; ",""))</f>
        <v/>
      </c>
      <c r="N236" s="30" t="str">
        <f>IF(A236="","",IF(Настройки_2026!$B$6="ДЕМО",1,IF(I236="ДЕМО",0,1)))</f>
        <v/>
      </c>
    </row>
    <row r="237" spans="1:14" x14ac:dyDescent="0.25">
      <c r="A237" s="26"/>
      <c r="B237" s="27"/>
      <c r="C237" s="27"/>
      <c r="D237" s="27"/>
      <c r="E237" s="28"/>
      <c r="F237" s="27"/>
      <c r="G237" s="27"/>
      <c r="H237" s="29"/>
      <c r="I237" s="27"/>
      <c r="J237" s="27"/>
      <c r="K237" s="30" t="str">
        <f t="shared" si="3"/>
        <v/>
      </c>
      <c r="L237" s="31">
        <f>IF(B237&lt;&gt;"Расход",0,IF(H237&lt;&gt;"",E237*H237,IFERROR(IF(VLOOKUP(D237,Категории!$A$3:$F$27,4,FALSE)="",0,E237*VLOOKUP(D237,Категории!$A$3:$F$27,4,FALSE)),0)))</f>
        <v>0</v>
      </c>
      <c r="M237" s="30" t="str">
        <f>IF(A237="","",IF(NOT(ISNUMBER(A237)),"ДАТА; ","")&amp;IF(NOT(ISNUMBER(E237)),"СУММА; ","")&amp;IF(AND(B237&lt;&gt;"",D237&lt;&gt;"",IFERROR(VLOOKUP(D237,Категории!$A$3:$B$27,2,FALSE),"")&lt;&gt;B237),"ТИП/КАТЕГОРИЯ; ","")&amp;IF(AND(B237="Доход",G237=""),"НЕТ № КВИТАНЦИИ; ","")&amp;IF(AND(B237="Расход",H237="",IFERROR(VLOOKUP(D237,Категории!$A$3:$D$27,4,FALSE),"")=""),"УКАЖИТЕ ДОЛЮ; ","")&amp;IF(COUNTIFS($A$5:$A$504,A237,$B$5:$B$504,B237,$C$5:$C$504,C237,$E$5:$E$504,E237)&gt;1,"ВОЗМОЖНЫЙ ДУБЛЬ; ","")&amp;IF(AND(A237&lt;&gt;"",A238&lt;&gt;"",A237&lt;A238),"ПОРЯДОК ДАТ; ",""))</f>
        <v/>
      </c>
      <c r="N237" s="30" t="str">
        <f>IF(A237="","",IF(Настройки_2026!$B$6="ДЕМО",1,IF(I237="ДЕМО",0,1)))</f>
        <v/>
      </c>
    </row>
    <row r="238" spans="1:14" x14ac:dyDescent="0.25">
      <c r="A238" s="26"/>
      <c r="B238" s="27"/>
      <c r="C238" s="27"/>
      <c r="D238" s="27"/>
      <c r="E238" s="28"/>
      <c r="F238" s="27"/>
      <c r="G238" s="27"/>
      <c r="H238" s="29"/>
      <c r="I238" s="27"/>
      <c r="J238" s="27"/>
      <c r="K238" s="30" t="str">
        <f t="shared" si="3"/>
        <v/>
      </c>
      <c r="L238" s="31">
        <f>IF(B238&lt;&gt;"Расход",0,IF(H238&lt;&gt;"",E238*H238,IFERROR(IF(VLOOKUP(D238,Категории!$A$3:$F$27,4,FALSE)="",0,E238*VLOOKUP(D238,Категории!$A$3:$F$27,4,FALSE)),0)))</f>
        <v>0</v>
      </c>
      <c r="M238" s="30" t="str">
        <f>IF(A238="","",IF(NOT(ISNUMBER(A238)),"ДАТА; ","")&amp;IF(NOT(ISNUMBER(E238)),"СУММА; ","")&amp;IF(AND(B238&lt;&gt;"",D238&lt;&gt;"",IFERROR(VLOOKUP(D238,Категории!$A$3:$B$27,2,FALSE),"")&lt;&gt;B238),"ТИП/КАТЕГОРИЯ; ","")&amp;IF(AND(B238="Доход",G238=""),"НЕТ № КВИТАНЦИИ; ","")&amp;IF(AND(B238="Расход",H238="",IFERROR(VLOOKUP(D238,Категории!$A$3:$D$27,4,FALSE),"")=""),"УКАЖИТЕ ДОЛЮ; ","")&amp;IF(COUNTIFS($A$5:$A$504,A238,$B$5:$B$504,B238,$C$5:$C$504,C238,$E$5:$E$504,E238)&gt;1,"ВОЗМОЖНЫЙ ДУБЛЬ; ","")&amp;IF(AND(A238&lt;&gt;"",A239&lt;&gt;"",A238&lt;A239),"ПОРЯДОК ДАТ; ",""))</f>
        <v/>
      </c>
      <c r="N238" s="30" t="str">
        <f>IF(A238="","",IF(Настройки_2026!$B$6="ДЕМО",1,IF(I238="ДЕМО",0,1)))</f>
        <v/>
      </c>
    </row>
    <row r="239" spans="1:14" x14ac:dyDescent="0.25">
      <c r="A239" s="26"/>
      <c r="B239" s="27"/>
      <c r="C239" s="27"/>
      <c r="D239" s="27"/>
      <c r="E239" s="28"/>
      <c r="F239" s="27"/>
      <c r="G239" s="27"/>
      <c r="H239" s="29"/>
      <c r="I239" s="27"/>
      <c r="J239" s="27"/>
      <c r="K239" s="30" t="str">
        <f t="shared" si="3"/>
        <v/>
      </c>
      <c r="L239" s="31">
        <f>IF(B239&lt;&gt;"Расход",0,IF(H239&lt;&gt;"",E239*H239,IFERROR(IF(VLOOKUP(D239,Категории!$A$3:$F$27,4,FALSE)="",0,E239*VLOOKUP(D239,Категории!$A$3:$F$27,4,FALSE)),0)))</f>
        <v>0</v>
      </c>
      <c r="M239" s="30" t="str">
        <f>IF(A239="","",IF(NOT(ISNUMBER(A239)),"ДАТА; ","")&amp;IF(NOT(ISNUMBER(E239)),"СУММА; ","")&amp;IF(AND(B239&lt;&gt;"",D239&lt;&gt;"",IFERROR(VLOOKUP(D239,Категории!$A$3:$B$27,2,FALSE),"")&lt;&gt;B239),"ТИП/КАТЕГОРИЯ; ","")&amp;IF(AND(B239="Доход",G239=""),"НЕТ № КВИТАНЦИИ; ","")&amp;IF(AND(B239="Расход",H239="",IFERROR(VLOOKUP(D239,Категории!$A$3:$D$27,4,FALSE),"")=""),"УКАЖИТЕ ДОЛЮ; ","")&amp;IF(COUNTIFS($A$5:$A$504,A239,$B$5:$B$504,B239,$C$5:$C$504,C239,$E$5:$E$504,E239)&gt;1,"ВОЗМОЖНЫЙ ДУБЛЬ; ","")&amp;IF(AND(A239&lt;&gt;"",A240&lt;&gt;"",A239&lt;A240),"ПОРЯДОК ДАТ; ",""))</f>
        <v/>
      </c>
      <c r="N239" s="30" t="str">
        <f>IF(A239="","",IF(Настройки_2026!$B$6="ДЕМО",1,IF(I239="ДЕМО",0,1)))</f>
        <v/>
      </c>
    </row>
    <row r="240" spans="1:14" x14ac:dyDescent="0.25">
      <c r="A240" s="26"/>
      <c r="B240" s="27"/>
      <c r="C240" s="27"/>
      <c r="D240" s="27"/>
      <c r="E240" s="28"/>
      <c r="F240" s="27"/>
      <c r="G240" s="27"/>
      <c r="H240" s="29"/>
      <c r="I240" s="27"/>
      <c r="J240" s="27"/>
      <c r="K240" s="30" t="str">
        <f t="shared" si="3"/>
        <v/>
      </c>
      <c r="L240" s="31">
        <f>IF(B240&lt;&gt;"Расход",0,IF(H240&lt;&gt;"",E240*H240,IFERROR(IF(VLOOKUP(D240,Категории!$A$3:$F$27,4,FALSE)="",0,E240*VLOOKUP(D240,Категории!$A$3:$F$27,4,FALSE)),0)))</f>
        <v>0</v>
      </c>
      <c r="M240" s="30" t="str">
        <f>IF(A240="","",IF(NOT(ISNUMBER(A240)),"ДАТА; ","")&amp;IF(NOT(ISNUMBER(E240)),"СУММА; ","")&amp;IF(AND(B240&lt;&gt;"",D240&lt;&gt;"",IFERROR(VLOOKUP(D240,Категории!$A$3:$B$27,2,FALSE),"")&lt;&gt;B240),"ТИП/КАТЕГОРИЯ; ","")&amp;IF(AND(B240="Доход",G240=""),"НЕТ № КВИТАНЦИИ; ","")&amp;IF(AND(B240="Расход",H240="",IFERROR(VLOOKUP(D240,Категории!$A$3:$D$27,4,FALSE),"")=""),"УКАЖИТЕ ДОЛЮ; ","")&amp;IF(COUNTIFS($A$5:$A$504,A240,$B$5:$B$504,B240,$C$5:$C$504,C240,$E$5:$E$504,E240)&gt;1,"ВОЗМОЖНЫЙ ДУБЛЬ; ","")&amp;IF(AND(A240&lt;&gt;"",A241&lt;&gt;"",A240&lt;A241),"ПОРЯДОК ДАТ; ",""))</f>
        <v/>
      </c>
      <c r="N240" s="30" t="str">
        <f>IF(A240="","",IF(Настройки_2026!$B$6="ДЕМО",1,IF(I240="ДЕМО",0,1)))</f>
        <v/>
      </c>
    </row>
    <row r="241" spans="1:14" x14ac:dyDescent="0.25">
      <c r="A241" s="26"/>
      <c r="B241" s="27"/>
      <c r="C241" s="27"/>
      <c r="D241" s="27"/>
      <c r="E241" s="28"/>
      <c r="F241" s="27"/>
      <c r="G241" s="27"/>
      <c r="H241" s="29"/>
      <c r="I241" s="27"/>
      <c r="J241" s="27"/>
      <c r="K241" s="30" t="str">
        <f t="shared" si="3"/>
        <v/>
      </c>
      <c r="L241" s="31">
        <f>IF(B241&lt;&gt;"Расход",0,IF(H241&lt;&gt;"",E241*H241,IFERROR(IF(VLOOKUP(D241,Категории!$A$3:$F$27,4,FALSE)="",0,E241*VLOOKUP(D241,Категории!$A$3:$F$27,4,FALSE)),0)))</f>
        <v>0</v>
      </c>
      <c r="M241" s="30" t="str">
        <f>IF(A241="","",IF(NOT(ISNUMBER(A241)),"ДАТА; ","")&amp;IF(NOT(ISNUMBER(E241)),"СУММА; ","")&amp;IF(AND(B241&lt;&gt;"",D241&lt;&gt;"",IFERROR(VLOOKUP(D241,Категории!$A$3:$B$27,2,FALSE),"")&lt;&gt;B241),"ТИП/КАТЕГОРИЯ; ","")&amp;IF(AND(B241="Доход",G241=""),"НЕТ № КВИТАНЦИИ; ","")&amp;IF(AND(B241="Расход",H241="",IFERROR(VLOOKUP(D241,Категории!$A$3:$D$27,4,FALSE),"")=""),"УКАЖИТЕ ДОЛЮ; ","")&amp;IF(COUNTIFS($A$5:$A$504,A241,$B$5:$B$504,B241,$C$5:$C$504,C241,$E$5:$E$504,E241)&gt;1,"ВОЗМОЖНЫЙ ДУБЛЬ; ","")&amp;IF(AND(A241&lt;&gt;"",A242&lt;&gt;"",A241&lt;A242),"ПОРЯДОК ДАТ; ",""))</f>
        <v/>
      </c>
      <c r="N241" s="30" t="str">
        <f>IF(A241="","",IF(Настройки_2026!$B$6="ДЕМО",1,IF(I241="ДЕМО",0,1)))</f>
        <v/>
      </c>
    </row>
    <row r="242" spans="1:14" x14ac:dyDescent="0.25">
      <c r="A242" s="26"/>
      <c r="B242" s="27"/>
      <c r="C242" s="27"/>
      <c r="D242" s="27"/>
      <c r="E242" s="28"/>
      <c r="F242" s="27"/>
      <c r="G242" s="27"/>
      <c r="H242" s="29"/>
      <c r="I242" s="27"/>
      <c r="J242" s="27"/>
      <c r="K242" s="30" t="str">
        <f t="shared" si="3"/>
        <v/>
      </c>
      <c r="L242" s="31">
        <f>IF(B242&lt;&gt;"Расход",0,IF(H242&lt;&gt;"",E242*H242,IFERROR(IF(VLOOKUP(D242,Категории!$A$3:$F$27,4,FALSE)="",0,E242*VLOOKUP(D242,Категории!$A$3:$F$27,4,FALSE)),0)))</f>
        <v>0</v>
      </c>
      <c r="M242" s="30" t="str">
        <f>IF(A242="","",IF(NOT(ISNUMBER(A242)),"ДАТА; ","")&amp;IF(NOT(ISNUMBER(E242)),"СУММА; ","")&amp;IF(AND(B242&lt;&gt;"",D242&lt;&gt;"",IFERROR(VLOOKUP(D242,Категории!$A$3:$B$27,2,FALSE),"")&lt;&gt;B242),"ТИП/КАТЕГОРИЯ; ","")&amp;IF(AND(B242="Доход",G242=""),"НЕТ № КВИТАНЦИИ; ","")&amp;IF(AND(B242="Расход",H242="",IFERROR(VLOOKUP(D242,Категории!$A$3:$D$27,4,FALSE),"")=""),"УКАЖИТЕ ДОЛЮ; ","")&amp;IF(COUNTIFS($A$5:$A$504,A242,$B$5:$B$504,B242,$C$5:$C$504,C242,$E$5:$E$504,E242)&gt;1,"ВОЗМОЖНЫЙ ДУБЛЬ; ","")&amp;IF(AND(A242&lt;&gt;"",A243&lt;&gt;"",A242&lt;A243),"ПОРЯДОК ДАТ; ",""))</f>
        <v/>
      </c>
      <c r="N242" s="30" t="str">
        <f>IF(A242="","",IF(Настройки_2026!$B$6="ДЕМО",1,IF(I242="ДЕМО",0,1)))</f>
        <v/>
      </c>
    </row>
    <row r="243" spans="1:14" x14ac:dyDescent="0.25">
      <c r="A243" s="26"/>
      <c r="B243" s="27"/>
      <c r="C243" s="27"/>
      <c r="D243" s="27"/>
      <c r="E243" s="28"/>
      <c r="F243" s="27"/>
      <c r="G243" s="27"/>
      <c r="H243" s="29"/>
      <c r="I243" s="27"/>
      <c r="J243" s="27"/>
      <c r="K243" s="30" t="str">
        <f t="shared" si="3"/>
        <v/>
      </c>
      <c r="L243" s="31">
        <f>IF(B243&lt;&gt;"Расход",0,IF(H243&lt;&gt;"",E243*H243,IFERROR(IF(VLOOKUP(D243,Категории!$A$3:$F$27,4,FALSE)="",0,E243*VLOOKUP(D243,Категории!$A$3:$F$27,4,FALSE)),0)))</f>
        <v>0</v>
      </c>
      <c r="M243" s="30" t="str">
        <f>IF(A243="","",IF(NOT(ISNUMBER(A243)),"ДАТА; ","")&amp;IF(NOT(ISNUMBER(E243)),"СУММА; ","")&amp;IF(AND(B243&lt;&gt;"",D243&lt;&gt;"",IFERROR(VLOOKUP(D243,Категории!$A$3:$B$27,2,FALSE),"")&lt;&gt;B243),"ТИП/КАТЕГОРИЯ; ","")&amp;IF(AND(B243="Доход",G243=""),"НЕТ № КВИТАНЦИИ; ","")&amp;IF(AND(B243="Расход",H243="",IFERROR(VLOOKUP(D243,Категории!$A$3:$D$27,4,FALSE),"")=""),"УКАЖИТЕ ДОЛЮ; ","")&amp;IF(COUNTIFS($A$5:$A$504,A243,$B$5:$B$504,B243,$C$5:$C$504,C243,$E$5:$E$504,E243)&gt;1,"ВОЗМОЖНЫЙ ДУБЛЬ; ","")&amp;IF(AND(A243&lt;&gt;"",A244&lt;&gt;"",A243&lt;A244),"ПОРЯДОК ДАТ; ",""))</f>
        <v/>
      </c>
      <c r="N243" s="30" t="str">
        <f>IF(A243="","",IF(Настройки_2026!$B$6="ДЕМО",1,IF(I243="ДЕМО",0,1)))</f>
        <v/>
      </c>
    </row>
    <row r="244" spans="1:14" x14ac:dyDescent="0.25">
      <c r="A244" s="26"/>
      <c r="B244" s="27"/>
      <c r="C244" s="27"/>
      <c r="D244" s="27"/>
      <c r="E244" s="28"/>
      <c r="F244" s="27"/>
      <c r="G244" s="27"/>
      <c r="H244" s="29"/>
      <c r="I244" s="27"/>
      <c r="J244" s="27"/>
      <c r="K244" s="30" t="str">
        <f t="shared" si="3"/>
        <v/>
      </c>
      <c r="L244" s="31">
        <f>IF(B244&lt;&gt;"Расход",0,IF(H244&lt;&gt;"",E244*H244,IFERROR(IF(VLOOKUP(D244,Категории!$A$3:$F$27,4,FALSE)="",0,E244*VLOOKUP(D244,Категории!$A$3:$F$27,4,FALSE)),0)))</f>
        <v>0</v>
      </c>
      <c r="M244" s="30" t="str">
        <f>IF(A244="","",IF(NOT(ISNUMBER(A244)),"ДАТА; ","")&amp;IF(NOT(ISNUMBER(E244)),"СУММА; ","")&amp;IF(AND(B244&lt;&gt;"",D244&lt;&gt;"",IFERROR(VLOOKUP(D244,Категории!$A$3:$B$27,2,FALSE),"")&lt;&gt;B244),"ТИП/КАТЕГОРИЯ; ","")&amp;IF(AND(B244="Доход",G244=""),"НЕТ № КВИТАНЦИИ; ","")&amp;IF(AND(B244="Расход",H244="",IFERROR(VLOOKUP(D244,Категории!$A$3:$D$27,4,FALSE),"")=""),"УКАЖИТЕ ДОЛЮ; ","")&amp;IF(COUNTIFS($A$5:$A$504,A244,$B$5:$B$504,B244,$C$5:$C$504,C244,$E$5:$E$504,E244)&gt;1,"ВОЗМОЖНЫЙ ДУБЛЬ; ","")&amp;IF(AND(A244&lt;&gt;"",A245&lt;&gt;"",A244&lt;A245),"ПОРЯДОК ДАТ; ",""))</f>
        <v/>
      </c>
      <c r="N244" s="30" t="str">
        <f>IF(A244="","",IF(Настройки_2026!$B$6="ДЕМО",1,IF(I244="ДЕМО",0,1)))</f>
        <v/>
      </c>
    </row>
    <row r="245" spans="1:14" x14ac:dyDescent="0.25">
      <c r="A245" s="26"/>
      <c r="B245" s="27"/>
      <c r="C245" s="27"/>
      <c r="D245" s="27"/>
      <c r="E245" s="28"/>
      <c r="F245" s="27"/>
      <c r="G245" s="27"/>
      <c r="H245" s="29"/>
      <c r="I245" s="27"/>
      <c r="J245" s="27"/>
      <c r="K245" s="30" t="str">
        <f t="shared" si="3"/>
        <v/>
      </c>
      <c r="L245" s="31">
        <f>IF(B245&lt;&gt;"Расход",0,IF(H245&lt;&gt;"",E245*H245,IFERROR(IF(VLOOKUP(D245,Категории!$A$3:$F$27,4,FALSE)="",0,E245*VLOOKUP(D245,Категории!$A$3:$F$27,4,FALSE)),0)))</f>
        <v>0</v>
      </c>
      <c r="M245" s="30" t="str">
        <f>IF(A245="","",IF(NOT(ISNUMBER(A245)),"ДАТА; ","")&amp;IF(NOT(ISNUMBER(E245)),"СУММА; ","")&amp;IF(AND(B245&lt;&gt;"",D245&lt;&gt;"",IFERROR(VLOOKUP(D245,Категории!$A$3:$B$27,2,FALSE),"")&lt;&gt;B245),"ТИП/КАТЕГОРИЯ; ","")&amp;IF(AND(B245="Доход",G245=""),"НЕТ № КВИТАНЦИИ; ","")&amp;IF(AND(B245="Расход",H245="",IFERROR(VLOOKUP(D245,Категории!$A$3:$D$27,4,FALSE),"")=""),"УКАЖИТЕ ДОЛЮ; ","")&amp;IF(COUNTIFS($A$5:$A$504,A245,$B$5:$B$504,B245,$C$5:$C$504,C245,$E$5:$E$504,E245)&gt;1,"ВОЗМОЖНЫЙ ДУБЛЬ; ","")&amp;IF(AND(A245&lt;&gt;"",A246&lt;&gt;"",A245&lt;A246),"ПОРЯДОК ДАТ; ",""))</f>
        <v/>
      </c>
      <c r="N245" s="30" t="str">
        <f>IF(A245="","",IF(Настройки_2026!$B$6="ДЕМО",1,IF(I245="ДЕМО",0,1)))</f>
        <v/>
      </c>
    </row>
    <row r="246" spans="1:14" x14ac:dyDescent="0.25">
      <c r="A246" s="26"/>
      <c r="B246" s="27"/>
      <c r="C246" s="27"/>
      <c r="D246" s="27"/>
      <c r="E246" s="28"/>
      <c r="F246" s="27"/>
      <c r="G246" s="27"/>
      <c r="H246" s="29"/>
      <c r="I246" s="27"/>
      <c r="J246" s="27"/>
      <c r="K246" s="30" t="str">
        <f t="shared" si="3"/>
        <v/>
      </c>
      <c r="L246" s="31">
        <f>IF(B246&lt;&gt;"Расход",0,IF(H246&lt;&gt;"",E246*H246,IFERROR(IF(VLOOKUP(D246,Категории!$A$3:$F$27,4,FALSE)="",0,E246*VLOOKUP(D246,Категории!$A$3:$F$27,4,FALSE)),0)))</f>
        <v>0</v>
      </c>
      <c r="M246" s="30" t="str">
        <f>IF(A246="","",IF(NOT(ISNUMBER(A246)),"ДАТА; ","")&amp;IF(NOT(ISNUMBER(E246)),"СУММА; ","")&amp;IF(AND(B246&lt;&gt;"",D246&lt;&gt;"",IFERROR(VLOOKUP(D246,Категории!$A$3:$B$27,2,FALSE),"")&lt;&gt;B246),"ТИП/КАТЕГОРИЯ; ","")&amp;IF(AND(B246="Доход",G246=""),"НЕТ № КВИТАНЦИИ; ","")&amp;IF(AND(B246="Расход",H246="",IFERROR(VLOOKUP(D246,Категории!$A$3:$D$27,4,FALSE),"")=""),"УКАЖИТЕ ДОЛЮ; ","")&amp;IF(COUNTIFS($A$5:$A$504,A246,$B$5:$B$504,B246,$C$5:$C$504,C246,$E$5:$E$504,E246)&gt;1,"ВОЗМОЖНЫЙ ДУБЛЬ; ","")&amp;IF(AND(A246&lt;&gt;"",A247&lt;&gt;"",A246&lt;A247),"ПОРЯДОК ДАТ; ",""))</f>
        <v/>
      </c>
      <c r="N246" s="30" t="str">
        <f>IF(A246="","",IF(Настройки_2026!$B$6="ДЕМО",1,IF(I246="ДЕМО",0,1)))</f>
        <v/>
      </c>
    </row>
    <row r="247" spans="1:14" x14ac:dyDescent="0.25">
      <c r="A247" s="26"/>
      <c r="B247" s="27"/>
      <c r="C247" s="27"/>
      <c r="D247" s="27"/>
      <c r="E247" s="28"/>
      <c r="F247" s="27"/>
      <c r="G247" s="27"/>
      <c r="H247" s="29"/>
      <c r="I247" s="27"/>
      <c r="J247" s="27"/>
      <c r="K247" s="30" t="str">
        <f t="shared" si="3"/>
        <v/>
      </c>
      <c r="L247" s="31">
        <f>IF(B247&lt;&gt;"Расход",0,IF(H247&lt;&gt;"",E247*H247,IFERROR(IF(VLOOKUP(D247,Категории!$A$3:$F$27,4,FALSE)="",0,E247*VLOOKUP(D247,Категории!$A$3:$F$27,4,FALSE)),0)))</f>
        <v>0</v>
      </c>
      <c r="M247" s="30" t="str">
        <f>IF(A247="","",IF(NOT(ISNUMBER(A247)),"ДАТА; ","")&amp;IF(NOT(ISNUMBER(E247)),"СУММА; ","")&amp;IF(AND(B247&lt;&gt;"",D247&lt;&gt;"",IFERROR(VLOOKUP(D247,Категории!$A$3:$B$27,2,FALSE),"")&lt;&gt;B247),"ТИП/КАТЕГОРИЯ; ","")&amp;IF(AND(B247="Доход",G247=""),"НЕТ № КВИТАНЦИИ; ","")&amp;IF(AND(B247="Расход",H247="",IFERROR(VLOOKUP(D247,Категории!$A$3:$D$27,4,FALSE),"")=""),"УКАЖИТЕ ДОЛЮ; ","")&amp;IF(COUNTIFS($A$5:$A$504,A247,$B$5:$B$504,B247,$C$5:$C$504,C247,$E$5:$E$504,E247)&gt;1,"ВОЗМОЖНЫЙ ДУБЛЬ; ","")&amp;IF(AND(A247&lt;&gt;"",A248&lt;&gt;"",A247&lt;A248),"ПОРЯДОК ДАТ; ",""))</f>
        <v/>
      </c>
      <c r="N247" s="30" t="str">
        <f>IF(A247="","",IF(Настройки_2026!$B$6="ДЕМО",1,IF(I247="ДЕМО",0,1)))</f>
        <v/>
      </c>
    </row>
    <row r="248" spans="1:14" x14ac:dyDescent="0.25">
      <c r="A248" s="26"/>
      <c r="B248" s="27"/>
      <c r="C248" s="27"/>
      <c r="D248" s="27"/>
      <c r="E248" s="28"/>
      <c r="F248" s="27"/>
      <c r="G248" s="27"/>
      <c r="H248" s="29"/>
      <c r="I248" s="27"/>
      <c r="J248" s="27"/>
      <c r="K248" s="30" t="str">
        <f t="shared" si="3"/>
        <v/>
      </c>
      <c r="L248" s="31">
        <f>IF(B248&lt;&gt;"Расход",0,IF(H248&lt;&gt;"",E248*H248,IFERROR(IF(VLOOKUP(D248,Категории!$A$3:$F$27,4,FALSE)="",0,E248*VLOOKUP(D248,Категории!$A$3:$F$27,4,FALSE)),0)))</f>
        <v>0</v>
      </c>
      <c r="M248" s="30" t="str">
        <f>IF(A248="","",IF(NOT(ISNUMBER(A248)),"ДАТА; ","")&amp;IF(NOT(ISNUMBER(E248)),"СУММА; ","")&amp;IF(AND(B248&lt;&gt;"",D248&lt;&gt;"",IFERROR(VLOOKUP(D248,Категории!$A$3:$B$27,2,FALSE),"")&lt;&gt;B248),"ТИП/КАТЕГОРИЯ; ","")&amp;IF(AND(B248="Доход",G248=""),"НЕТ № КВИТАНЦИИ; ","")&amp;IF(AND(B248="Расход",H248="",IFERROR(VLOOKUP(D248,Категории!$A$3:$D$27,4,FALSE),"")=""),"УКАЖИТЕ ДОЛЮ; ","")&amp;IF(COUNTIFS($A$5:$A$504,A248,$B$5:$B$504,B248,$C$5:$C$504,C248,$E$5:$E$504,E248)&gt;1,"ВОЗМОЖНЫЙ ДУБЛЬ; ","")&amp;IF(AND(A248&lt;&gt;"",A249&lt;&gt;"",A248&lt;A249),"ПОРЯДОК ДАТ; ",""))</f>
        <v/>
      </c>
      <c r="N248" s="30" t="str">
        <f>IF(A248="","",IF(Настройки_2026!$B$6="ДЕМО",1,IF(I248="ДЕМО",0,1)))</f>
        <v/>
      </c>
    </row>
    <row r="249" spans="1:14" x14ac:dyDescent="0.25">
      <c r="A249" s="26"/>
      <c r="B249" s="27"/>
      <c r="C249" s="27"/>
      <c r="D249" s="27"/>
      <c r="E249" s="28"/>
      <c r="F249" s="27"/>
      <c r="G249" s="27"/>
      <c r="H249" s="29"/>
      <c r="I249" s="27"/>
      <c r="J249" s="27"/>
      <c r="K249" s="30" t="str">
        <f t="shared" si="3"/>
        <v/>
      </c>
      <c r="L249" s="31">
        <f>IF(B249&lt;&gt;"Расход",0,IF(H249&lt;&gt;"",E249*H249,IFERROR(IF(VLOOKUP(D249,Категории!$A$3:$F$27,4,FALSE)="",0,E249*VLOOKUP(D249,Категории!$A$3:$F$27,4,FALSE)),0)))</f>
        <v>0</v>
      </c>
      <c r="M249" s="30" t="str">
        <f>IF(A249="","",IF(NOT(ISNUMBER(A249)),"ДАТА; ","")&amp;IF(NOT(ISNUMBER(E249)),"СУММА; ","")&amp;IF(AND(B249&lt;&gt;"",D249&lt;&gt;"",IFERROR(VLOOKUP(D249,Категории!$A$3:$B$27,2,FALSE),"")&lt;&gt;B249),"ТИП/КАТЕГОРИЯ; ","")&amp;IF(AND(B249="Доход",G249=""),"НЕТ № КВИТАНЦИИ; ","")&amp;IF(AND(B249="Расход",H249="",IFERROR(VLOOKUP(D249,Категории!$A$3:$D$27,4,FALSE),"")=""),"УКАЖИТЕ ДОЛЮ; ","")&amp;IF(COUNTIFS($A$5:$A$504,A249,$B$5:$B$504,B249,$C$5:$C$504,C249,$E$5:$E$504,E249)&gt;1,"ВОЗМОЖНЫЙ ДУБЛЬ; ","")&amp;IF(AND(A249&lt;&gt;"",A250&lt;&gt;"",A249&lt;A250),"ПОРЯДОК ДАТ; ",""))</f>
        <v/>
      </c>
      <c r="N249" s="30" t="str">
        <f>IF(A249="","",IF(Настройки_2026!$B$6="ДЕМО",1,IF(I249="ДЕМО",0,1)))</f>
        <v/>
      </c>
    </row>
    <row r="250" spans="1:14" x14ac:dyDescent="0.25">
      <c r="A250" s="26"/>
      <c r="B250" s="27"/>
      <c r="C250" s="27"/>
      <c r="D250" s="27"/>
      <c r="E250" s="28"/>
      <c r="F250" s="27"/>
      <c r="G250" s="27"/>
      <c r="H250" s="29"/>
      <c r="I250" s="27"/>
      <c r="J250" s="27"/>
      <c r="K250" s="30" t="str">
        <f t="shared" si="3"/>
        <v/>
      </c>
      <c r="L250" s="31">
        <f>IF(B250&lt;&gt;"Расход",0,IF(H250&lt;&gt;"",E250*H250,IFERROR(IF(VLOOKUP(D250,Категории!$A$3:$F$27,4,FALSE)="",0,E250*VLOOKUP(D250,Категории!$A$3:$F$27,4,FALSE)),0)))</f>
        <v>0</v>
      </c>
      <c r="M250" s="30" t="str">
        <f>IF(A250="","",IF(NOT(ISNUMBER(A250)),"ДАТА; ","")&amp;IF(NOT(ISNUMBER(E250)),"СУММА; ","")&amp;IF(AND(B250&lt;&gt;"",D250&lt;&gt;"",IFERROR(VLOOKUP(D250,Категории!$A$3:$B$27,2,FALSE),"")&lt;&gt;B250),"ТИП/КАТЕГОРИЯ; ","")&amp;IF(AND(B250="Доход",G250=""),"НЕТ № КВИТАНЦИИ; ","")&amp;IF(AND(B250="Расход",H250="",IFERROR(VLOOKUP(D250,Категории!$A$3:$D$27,4,FALSE),"")=""),"УКАЖИТЕ ДОЛЮ; ","")&amp;IF(COUNTIFS($A$5:$A$504,A250,$B$5:$B$504,B250,$C$5:$C$504,C250,$E$5:$E$504,E250)&gt;1,"ВОЗМОЖНЫЙ ДУБЛЬ; ","")&amp;IF(AND(A250&lt;&gt;"",A251&lt;&gt;"",A250&lt;A251),"ПОРЯДОК ДАТ; ",""))</f>
        <v/>
      </c>
      <c r="N250" s="30" t="str">
        <f>IF(A250="","",IF(Настройки_2026!$B$6="ДЕМО",1,IF(I250="ДЕМО",0,1)))</f>
        <v/>
      </c>
    </row>
    <row r="251" spans="1:14" x14ac:dyDescent="0.25">
      <c r="A251" s="26"/>
      <c r="B251" s="27"/>
      <c r="C251" s="27"/>
      <c r="D251" s="27"/>
      <c r="E251" s="28"/>
      <c r="F251" s="27"/>
      <c r="G251" s="27"/>
      <c r="H251" s="29"/>
      <c r="I251" s="27"/>
      <c r="J251" s="27"/>
      <c r="K251" s="30" t="str">
        <f t="shared" si="3"/>
        <v/>
      </c>
      <c r="L251" s="31">
        <f>IF(B251&lt;&gt;"Расход",0,IF(H251&lt;&gt;"",E251*H251,IFERROR(IF(VLOOKUP(D251,Категории!$A$3:$F$27,4,FALSE)="",0,E251*VLOOKUP(D251,Категории!$A$3:$F$27,4,FALSE)),0)))</f>
        <v>0</v>
      </c>
      <c r="M251" s="30" t="str">
        <f>IF(A251="","",IF(NOT(ISNUMBER(A251)),"ДАТА; ","")&amp;IF(NOT(ISNUMBER(E251)),"СУММА; ","")&amp;IF(AND(B251&lt;&gt;"",D251&lt;&gt;"",IFERROR(VLOOKUP(D251,Категории!$A$3:$B$27,2,FALSE),"")&lt;&gt;B251),"ТИП/КАТЕГОРИЯ; ","")&amp;IF(AND(B251="Доход",G251=""),"НЕТ № КВИТАНЦИИ; ","")&amp;IF(AND(B251="Расход",H251="",IFERROR(VLOOKUP(D251,Категории!$A$3:$D$27,4,FALSE),"")=""),"УКАЖИТЕ ДОЛЮ; ","")&amp;IF(COUNTIFS($A$5:$A$504,A251,$B$5:$B$504,B251,$C$5:$C$504,C251,$E$5:$E$504,E251)&gt;1,"ВОЗМОЖНЫЙ ДУБЛЬ; ","")&amp;IF(AND(A251&lt;&gt;"",A252&lt;&gt;"",A251&lt;A252),"ПОРЯДОК ДАТ; ",""))</f>
        <v/>
      </c>
      <c r="N251" s="30" t="str">
        <f>IF(A251="","",IF(Настройки_2026!$B$6="ДЕМО",1,IF(I251="ДЕМО",0,1)))</f>
        <v/>
      </c>
    </row>
    <row r="252" spans="1:14" x14ac:dyDescent="0.25">
      <c r="A252" s="26"/>
      <c r="B252" s="27"/>
      <c r="C252" s="27"/>
      <c r="D252" s="27"/>
      <c r="E252" s="28"/>
      <c r="F252" s="27"/>
      <c r="G252" s="27"/>
      <c r="H252" s="29"/>
      <c r="I252" s="27"/>
      <c r="J252" s="27"/>
      <c r="K252" s="30" t="str">
        <f t="shared" si="3"/>
        <v/>
      </c>
      <c r="L252" s="31">
        <f>IF(B252&lt;&gt;"Расход",0,IF(H252&lt;&gt;"",E252*H252,IFERROR(IF(VLOOKUP(D252,Категории!$A$3:$F$27,4,FALSE)="",0,E252*VLOOKUP(D252,Категории!$A$3:$F$27,4,FALSE)),0)))</f>
        <v>0</v>
      </c>
      <c r="M252" s="30" t="str">
        <f>IF(A252="","",IF(NOT(ISNUMBER(A252)),"ДАТА; ","")&amp;IF(NOT(ISNUMBER(E252)),"СУММА; ","")&amp;IF(AND(B252&lt;&gt;"",D252&lt;&gt;"",IFERROR(VLOOKUP(D252,Категории!$A$3:$B$27,2,FALSE),"")&lt;&gt;B252),"ТИП/КАТЕГОРИЯ; ","")&amp;IF(AND(B252="Доход",G252=""),"НЕТ № КВИТАНЦИИ; ","")&amp;IF(AND(B252="Расход",H252="",IFERROR(VLOOKUP(D252,Категории!$A$3:$D$27,4,FALSE),"")=""),"УКАЖИТЕ ДОЛЮ; ","")&amp;IF(COUNTIFS($A$5:$A$504,A252,$B$5:$B$504,B252,$C$5:$C$504,C252,$E$5:$E$504,E252)&gt;1,"ВОЗМОЖНЫЙ ДУБЛЬ; ","")&amp;IF(AND(A252&lt;&gt;"",A253&lt;&gt;"",A252&lt;A253),"ПОРЯДОК ДАТ; ",""))</f>
        <v/>
      </c>
      <c r="N252" s="30" t="str">
        <f>IF(A252="","",IF(Настройки_2026!$B$6="ДЕМО",1,IF(I252="ДЕМО",0,1)))</f>
        <v/>
      </c>
    </row>
    <row r="253" spans="1:14" x14ac:dyDescent="0.25">
      <c r="A253" s="26"/>
      <c r="B253" s="27"/>
      <c r="C253" s="27"/>
      <c r="D253" s="27"/>
      <c r="E253" s="28"/>
      <c r="F253" s="27"/>
      <c r="G253" s="27"/>
      <c r="H253" s="29"/>
      <c r="I253" s="27"/>
      <c r="J253" s="27"/>
      <c r="K253" s="30" t="str">
        <f t="shared" si="3"/>
        <v/>
      </c>
      <c r="L253" s="31">
        <f>IF(B253&lt;&gt;"Расход",0,IF(H253&lt;&gt;"",E253*H253,IFERROR(IF(VLOOKUP(D253,Категории!$A$3:$F$27,4,FALSE)="",0,E253*VLOOKUP(D253,Категории!$A$3:$F$27,4,FALSE)),0)))</f>
        <v>0</v>
      </c>
      <c r="M253" s="30" t="str">
        <f>IF(A253="","",IF(NOT(ISNUMBER(A253)),"ДАТА; ","")&amp;IF(NOT(ISNUMBER(E253)),"СУММА; ","")&amp;IF(AND(B253&lt;&gt;"",D253&lt;&gt;"",IFERROR(VLOOKUP(D253,Категории!$A$3:$B$27,2,FALSE),"")&lt;&gt;B253),"ТИП/КАТЕГОРИЯ; ","")&amp;IF(AND(B253="Доход",G253=""),"НЕТ № КВИТАНЦИИ; ","")&amp;IF(AND(B253="Расход",H253="",IFERROR(VLOOKUP(D253,Категории!$A$3:$D$27,4,FALSE),"")=""),"УКАЖИТЕ ДОЛЮ; ","")&amp;IF(COUNTIFS($A$5:$A$504,A253,$B$5:$B$504,B253,$C$5:$C$504,C253,$E$5:$E$504,E253)&gt;1,"ВОЗМОЖНЫЙ ДУБЛЬ; ","")&amp;IF(AND(A253&lt;&gt;"",A254&lt;&gt;"",A253&lt;A254),"ПОРЯДОК ДАТ; ",""))</f>
        <v/>
      </c>
      <c r="N253" s="30" t="str">
        <f>IF(A253="","",IF(Настройки_2026!$B$6="ДЕМО",1,IF(I253="ДЕМО",0,1)))</f>
        <v/>
      </c>
    </row>
    <row r="254" spans="1:14" x14ac:dyDescent="0.25">
      <c r="A254" s="26"/>
      <c r="B254" s="27"/>
      <c r="C254" s="27"/>
      <c r="D254" s="27"/>
      <c r="E254" s="28"/>
      <c r="F254" s="27"/>
      <c r="G254" s="27"/>
      <c r="H254" s="29"/>
      <c r="I254" s="27"/>
      <c r="J254" s="27"/>
      <c r="K254" s="30" t="str">
        <f t="shared" si="3"/>
        <v/>
      </c>
      <c r="L254" s="31">
        <f>IF(B254&lt;&gt;"Расход",0,IF(H254&lt;&gt;"",E254*H254,IFERROR(IF(VLOOKUP(D254,Категории!$A$3:$F$27,4,FALSE)="",0,E254*VLOOKUP(D254,Категории!$A$3:$F$27,4,FALSE)),0)))</f>
        <v>0</v>
      </c>
      <c r="M254" s="30" t="str">
        <f>IF(A254="","",IF(NOT(ISNUMBER(A254)),"ДАТА; ","")&amp;IF(NOT(ISNUMBER(E254)),"СУММА; ","")&amp;IF(AND(B254&lt;&gt;"",D254&lt;&gt;"",IFERROR(VLOOKUP(D254,Категории!$A$3:$B$27,2,FALSE),"")&lt;&gt;B254),"ТИП/КАТЕГОРИЯ; ","")&amp;IF(AND(B254="Доход",G254=""),"НЕТ № КВИТАНЦИИ; ","")&amp;IF(AND(B254="Расход",H254="",IFERROR(VLOOKUP(D254,Категории!$A$3:$D$27,4,FALSE),"")=""),"УКАЖИТЕ ДОЛЮ; ","")&amp;IF(COUNTIFS($A$5:$A$504,A254,$B$5:$B$504,B254,$C$5:$C$504,C254,$E$5:$E$504,E254)&gt;1,"ВОЗМОЖНЫЙ ДУБЛЬ; ","")&amp;IF(AND(A254&lt;&gt;"",A255&lt;&gt;"",A254&lt;A255),"ПОРЯДОК ДАТ; ",""))</f>
        <v/>
      </c>
      <c r="N254" s="30" t="str">
        <f>IF(A254="","",IF(Настройки_2026!$B$6="ДЕМО",1,IF(I254="ДЕМО",0,1)))</f>
        <v/>
      </c>
    </row>
    <row r="255" spans="1:14" x14ac:dyDescent="0.25">
      <c r="A255" s="26"/>
      <c r="B255" s="27"/>
      <c r="C255" s="27"/>
      <c r="D255" s="27"/>
      <c r="E255" s="28"/>
      <c r="F255" s="27"/>
      <c r="G255" s="27"/>
      <c r="H255" s="29"/>
      <c r="I255" s="27"/>
      <c r="J255" s="27"/>
      <c r="K255" s="30" t="str">
        <f t="shared" si="3"/>
        <v/>
      </c>
      <c r="L255" s="31">
        <f>IF(B255&lt;&gt;"Расход",0,IF(H255&lt;&gt;"",E255*H255,IFERROR(IF(VLOOKUP(D255,Категории!$A$3:$F$27,4,FALSE)="",0,E255*VLOOKUP(D255,Категории!$A$3:$F$27,4,FALSE)),0)))</f>
        <v>0</v>
      </c>
      <c r="M255" s="30" t="str">
        <f>IF(A255="","",IF(NOT(ISNUMBER(A255)),"ДАТА; ","")&amp;IF(NOT(ISNUMBER(E255)),"СУММА; ","")&amp;IF(AND(B255&lt;&gt;"",D255&lt;&gt;"",IFERROR(VLOOKUP(D255,Категории!$A$3:$B$27,2,FALSE),"")&lt;&gt;B255),"ТИП/КАТЕГОРИЯ; ","")&amp;IF(AND(B255="Доход",G255=""),"НЕТ № КВИТАНЦИИ; ","")&amp;IF(AND(B255="Расход",H255="",IFERROR(VLOOKUP(D255,Категории!$A$3:$D$27,4,FALSE),"")=""),"УКАЖИТЕ ДОЛЮ; ","")&amp;IF(COUNTIFS($A$5:$A$504,A255,$B$5:$B$504,B255,$C$5:$C$504,C255,$E$5:$E$504,E255)&gt;1,"ВОЗМОЖНЫЙ ДУБЛЬ; ","")&amp;IF(AND(A255&lt;&gt;"",A256&lt;&gt;"",A255&lt;A256),"ПОРЯДОК ДАТ; ",""))</f>
        <v/>
      </c>
      <c r="N255" s="30" t="str">
        <f>IF(A255="","",IF(Настройки_2026!$B$6="ДЕМО",1,IF(I255="ДЕМО",0,1)))</f>
        <v/>
      </c>
    </row>
    <row r="256" spans="1:14" x14ac:dyDescent="0.25">
      <c r="A256" s="26"/>
      <c r="B256" s="27"/>
      <c r="C256" s="27"/>
      <c r="D256" s="27"/>
      <c r="E256" s="28"/>
      <c r="F256" s="27"/>
      <c r="G256" s="27"/>
      <c r="H256" s="29"/>
      <c r="I256" s="27"/>
      <c r="J256" s="27"/>
      <c r="K256" s="30" t="str">
        <f t="shared" si="3"/>
        <v/>
      </c>
      <c r="L256" s="31">
        <f>IF(B256&lt;&gt;"Расход",0,IF(H256&lt;&gt;"",E256*H256,IFERROR(IF(VLOOKUP(D256,Категории!$A$3:$F$27,4,FALSE)="",0,E256*VLOOKUP(D256,Категории!$A$3:$F$27,4,FALSE)),0)))</f>
        <v>0</v>
      </c>
      <c r="M256" s="30" t="str">
        <f>IF(A256="","",IF(NOT(ISNUMBER(A256)),"ДАТА; ","")&amp;IF(NOT(ISNUMBER(E256)),"СУММА; ","")&amp;IF(AND(B256&lt;&gt;"",D256&lt;&gt;"",IFERROR(VLOOKUP(D256,Категории!$A$3:$B$27,2,FALSE),"")&lt;&gt;B256),"ТИП/КАТЕГОРИЯ; ","")&amp;IF(AND(B256="Доход",G256=""),"НЕТ № КВИТАНЦИИ; ","")&amp;IF(AND(B256="Расход",H256="",IFERROR(VLOOKUP(D256,Категории!$A$3:$D$27,4,FALSE),"")=""),"УКАЖИТЕ ДОЛЮ; ","")&amp;IF(COUNTIFS($A$5:$A$504,A256,$B$5:$B$504,B256,$C$5:$C$504,C256,$E$5:$E$504,E256)&gt;1,"ВОЗМОЖНЫЙ ДУБЛЬ; ","")&amp;IF(AND(A256&lt;&gt;"",A257&lt;&gt;"",A256&lt;A257),"ПОРЯДОК ДАТ; ",""))</f>
        <v/>
      </c>
      <c r="N256" s="30" t="str">
        <f>IF(A256="","",IF(Настройки_2026!$B$6="ДЕМО",1,IF(I256="ДЕМО",0,1)))</f>
        <v/>
      </c>
    </row>
    <row r="257" spans="1:14" x14ac:dyDescent="0.25">
      <c r="A257" s="26"/>
      <c r="B257" s="27"/>
      <c r="C257" s="27"/>
      <c r="D257" s="27"/>
      <c r="E257" s="28"/>
      <c r="F257" s="27"/>
      <c r="G257" s="27"/>
      <c r="H257" s="29"/>
      <c r="I257" s="27"/>
      <c r="J257" s="27"/>
      <c r="K257" s="30" t="str">
        <f t="shared" si="3"/>
        <v/>
      </c>
      <c r="L257" s="31">
        <f>IF(B257&lt;&gt;"Расход",0,IF(H257&lt;&gt;"",E257*H257,IFERROR(IF(VLOOKUP(D257,Категории!$A$3:$F$27,4,FALSE)="",0,E257*VLOOKUP(D257,Категории!$A$3:$F$27,4,FALSE)),0)))</f>
        <v>0</v>
      </c>
      <c r="M257" s="30" t="str">
        <f>IF(A257="","",IF(NOT(ISNUMBER(A257)),"ДАТА; ","")&amp;IF(NOT(ISNUMBER(E257)),"СУММА; ","")&amp;IF(AND(B257&lt;&gt;"",D257&lt;&gt;"",IFERROR(VLOOKUP(D257,Категории!$A$3:$B$27,2,FALSE),"")&lt;&gt;B257),"ТИП/КАТЕГОРИЯ; ","")&amp;IF(AND(B257="Доход",G257=""),"НЕТ № КВИТАНЦИИ; ","")&amp;IF(AND(B257="Расход",H257="",IFERROR(VLOOKUP(D257,Категории!$A$3:$D$27,4,FALSE),"")=""),"УКАЖИТЕ ДОЛЮ; ","")&amp;IF(COUNTIFS($A$5:$A$504,A257,$B$5:$B$504,B257,$C$5:$C$504,C257,$E$5:$E$504,E257)&gt;1,"ВОЗМОЖНЫЙ ДУБЛЬ; ","")&amp;IF(AND(A257&lt;&gt;"",A258&lt;&gt;"",A257&lt;A258),"ПОРЯДОК ДАТ; ",""))</f>
        <v/>
      </c>
      <c r="N257" s="30" t="str">
        <f>IF(A257="","",IF(Настройки_2026!$B$6="ДЕМО",1,IF(I257="ДЕМО",0,1)))</f>
        <v/>
      </c>
    </row>
    <row r="258" spans="1:14" x14ac:dyDescent="0.25">
      <c r="A258" s="26"/>
      <c r="B258" s="27"/>
      <c r="C258" s="27"/>
      <c r="D258" s="27"/>
      <c r="E258" s="28"/>
      <c r="F258" s="27"/>
      <c r="G258" s="27"/>
      <c r="H258" s="29"/>
      <c r="I258" s="27"/>
      <c r="J258" s="27"/>
      <c r="K258" s="30" t="str">
        <f t="shared" si="3"/>
        <v/>
      </c>
      <c r="L258" s="31">
        <f>IF(B258&lt;&gt;"Расход",0,IF(H258&lt;&gt;"",E258*H258,IFERROR(IF(VLOOKUP(D258,Категории!$A$3:$F$27,4,FALSE)="",0,E258*VLOOKUP(D258,Категории!$A$3:$F$27,4,FALSE)),0)))</f>
        <v>0</v>
      </c>
      <c r="M258" s="30" t="str">
        <f>IF(A258="","",IF(NOT(ISNUMBER(A258)),"ДАТА; ","")&amp;IF(NOT(ISNUMBER(E258)),"СУММА; ","")&amp;IF(AND(B258&lt;&gt;"",D258&lt;&gt;"",IFERROR(VLOOKUP(D258,Категории!$A$3:$B$27,2,FALSE),"")&lt;&gt;B258),"ТИП/КАТЕГОРИЯ; ","")&amp;IF(AND(B258="Доход",G258=""),"НЕТ № КВИТАНЦИИ; ","")&amp;IF(AND(B258="Расход",H258="",IFERROR(VLOOKUP(D258,Категории!$A$3:$D$27,4,FALSE),"")=""),"УКАЖИТЕ ДОЛЮ; ","")&amp;IF(COUNTIFS($A$5:$A$504,A258,$B$5:$B$504,B258,$C$5:$C$504,C258,$E$5:$E$504,E258)&gt;1,"ВОЗМОЖНЫЙ ДУБЛЬ; ","")&amp;IF(AND(A258&lt;&gt;"",A259&lt;&gt;"",A258&lt;A259),"ПОРЯДОК ДАТ; ",""))</f>
        <v/>
      </c>
      <c r="N258" s="30" t="str">
        <f>IF(A258="","",IF(Настройки_2026!$B$6="ДЕМО",1,IF(I258="ДЕМО",0,1)))</f>
        <v/>
      </c>
    </row>
    <row r="259" spans="1:14" x14ac:dyDescent="0.25">
      <c r="A259" s="26"/>
      <c r="B259" s="27"/>
      <c r="C259" s="27"/>
      <c r="D259" s="27"/>
      <c r="E259" s="28"/>
      <c r="F259" s="27"/>
      <c r="G259" s="27"/>
      <c r="H259" s="29"/>
      <c r="I259" s="27"/>
      <c r="J259" s="27"/>
      <c r="K259" s="30" t="str">
        <f t="shared" si="3"/>
        <v/>
      </c>
      <c r="L259" s="31">
        <f>IF(B259&lt;&gt;"Расход",0,IF(H259&lt;&gt;"",E259*H259,IFERROR(IF(VLOOKUP(D259,Категории!$A$3:$F$27,4,FALSE)="",0,E259*VLOOKUP(D259,Категории!$A$3:$F$27,4,FALSE)),0)))</f>
        <v>0</v>
      </c>
      <c r="M259" s="30" t="str">
        <f>IF(A259="","",IF(NOT(ISNUMBER(A259)),"ДАТА; ","")&amp;IF(NOT(ISNUMBER(E259)),"СУММА; ","")&amp;IF(AND(B259&lt;&gt;"",D259&lt;&gt;"",IFERROR(VLOOKUP(D259,Категории!$A$3:$B$27,2,FALSE),"")&lt;&gt;B259),"ТИП/КАТЕГОРИЯ; ","")&amp;IF(AND(B259="Доход",G259=""),"НЕТ № КВИТАНЦИИ; ","")&amp;IF(AND(B259="Расход",H259="",IFERROR(VLOOKUP(D259,Категории!$A$3:$D$27,4,FALSE),"")=""),"УКАЖИТЕ ДОЛЮ; ","")&amp;IF(COUNTIFS($A$5:$A$504,A259,$B$5:$B$504,B259,$C$5:$C$504,C259,$E$5:$E$504,E259)&gt;1,"ВОЗМОЖНЫЙ ДУБЛЬ; ","")&amp;IF(AND(A259&lt;&gt;"",A260&lt;&gt;"",A259&lt;A260),"ПОРЯДОК ДАТ; ",""))</f>
        <v/>
      </c>
      <c r="N259" s="30" t="str">
        <f>IF(A259="","",IF(Настройки_2026!$B$6="ДЕМО",1,IF(I259="ДЕМО",0,1)))</f>
        <v/>
      </c>
    </row>
    <row r="260" spans="1:14" x14ac:dyDescent="0.25">
      <c r="A260" s="26"/>
      <c r="B260" s="27"/>
      <c r="C260" s="27"/>
      <c r="D260" s="27"/>
      <c r="E260" s="28"/>
      <c r="F260" s="27"/>
      <c r="G260" s="27"/>
      <c r="H260" s="29"/>
      <c r="I260" s="27"/>
      <c r="J260" s="27"/>
      <c r="K260" s="30" t="str">
        <f t="shared" si="3"/>
        <v/>
      </c>
      <c r="L260" s="31">
        <f>IF(B260&lt;&gt;"Расход",0,IF(H260&lt;&gt;"",E260*H260,IFERROR(IF(VLOOKUP(D260,Категории!$A$3:$F$27,4,FALSE)="",0,E260*VLOOKUP(D260,Категории!$A$3:$F$27,4,FALSE)),0)))</f>
        <v>0</v>
      </c>
      <c r="M260" s="30" t="str">
        <f>IF(A260="","",IF(NOT(ISNUMBER(A260)),"ДАТА; ","")&amp;IF(NOT(ISNUMBER(E260)),"СУММА; ","")&amp;IF(AND(B260&lt;&gt;"",D260&lt;&gt;"",IFERROR(VLOOKUP(D260,Категории!$A$3:$B$27,2,FALSE),"")&lt;&gt;B260),"ТИП/КАТЕГОРИЯ; ","")&amp;IF(AND(B260="Доход",G260=""),"НЕТ № КВИТАНЦИИ; ","")&amp;IF(AND(B260="Расход",H260="",IFERROR(VLOOKUP(D260,Категории!$A$3:$D$27,4,FALSE),"")=""),"УКАЖИТЕ ДОЛЮ; ","")&amp;IF(COUNTIFS($A$5:$A$504,A260,$B$5:$B$504,B260,$C$5:$C$504,C260,$E$5:$E$504,E260)&gt;1,"ВОЗМОЖНЫЙ ДУБЛЬ; ","")&amp;IF(AND(A260&lt;&gt;"",A261&lt;&gt;"",A260&lt;A261),"ПОРЯДОК ДАТ; ",""))</f>
        <v/>
      </c>
      <c r="N260" s="30" t="str">
        <f>IF(A260="","",IF(Настройки_2026!$B$6="ДЕМО",1,IF(I260="ДЕМО",0,1)))</f>
        <v/>
      </c>
    </row>
    <row r="261" spans="1:14" x14ac:dyDescent="0.25">
      <c r="A261" s="26"/>
      <c r="B261" s="27"/>
      <c r="C261" s="27"/>
      <c r="D261" s="27"/>
      <c r="E261" s="28"/>
      <c r="F261" s="27"/>
      <c r="G261" s="27"/>
      <c r="H261" s="29"/>
      <c r="I261" s="27"/>
      <c r="J261" s="27"/>
      <c r="K261" s="30" t="str">
        <f t="shared" ref="K261:K324" si="4">IF(A261="","",MONTH(A261))</f>
        <v/>
      </c>
      <c r="L261" s="31">
        <f>IF(B261&lt;&gt;"Расход",0,IF(H261&lt;&gt;"",E261*H261,IFERROR(IF(VLOOKUP(D261,Категории!$A$3:$F$27,4,FALSE)="",0,E261*VLOOKUP(D261,Категории!$A$3:$F$27,4,FALSE)),0)))</f>
        <v>0</v>
      </c>
      <c r="M261" s="30" t="str">
        <f>IF(A261="","",IF(NOT(ISNUMBER(A261)),"ДАТА; ","")&amp;IF(NOT(ISNUMBER(E261)),"СУММА; ","")&amp;IF(AND(B261&lt;&gt;"",D261&lt;&gt;"",IFERROR(VLOOKUP(D261,Категории!$A$3:$B$27,2,FALSE),"")&lt;&gt;B261),"ТИП/КАТЕГОРИЯ; ","")&amp;IF(AND(B261="Доход",G261=""),"НЕТ № КВИТАНЦИИ; ","")&amp;IF(AND(B261="Расход",H261="",IFERROR(VLOOKUP(D261,Категории!$A$3:$D$27,4,FALSE),"")=""),"УКАЖИТЕ ДОЛЮ; ","")&amp;IF(COUNTIFS($A$5:$A$504,A261,$B$5:$B$504,B261,$C$5:$C$504,C261,$E$5:$E$504,E261)&gt;1,"ВОЗМОЖНЫЙ ДУБЛЬ; ","")&amp;IF(AND(A261&lt;&gt;"",A262&lt;&gt;"",A261&lt;A262),"ПОРЯДОК ДАТ; ",""))</f>
        <v/>
      </c>
      <c r="N261" s="30" t="str">
        <f>IF(A261="","",IF(Настройки_2026!$B$6="ДЕМО",1,IF(I261="ДЕМО",0,1)))</f>
        <v/>
      </c>
    </row>
    <row r="262" spans="1:14" x14ac:dyDescent="0.25">
      <c r="A262" s="26"/>
      <c r="B262" s="27"/>
      <c r="C262" s="27"/>
      <c r="D262" s="27"/>
      <c r="E262" s="28"/>
      <c r="F262" s="27"/>
      <c r="G262" s="27"/>
      <c r="H262" s="29"/>
      <c r="I262" s="27"/>
      <c r="J262" s="27"/>
      <c r="K262" s="30" t="str">
        <f t="shared" si="4"/>
        <v/>
      </c>
      <c r="L262" s="31">
        <f>IF(B262&lt;&gt;"Расход",0,IF(H262&lt;&gt;"",E262*H262,IFERROR(IF(VLOOKUP(D262,Категории!$A$3:$F$27,4,FALSE)="",0,E262*VLOOKUP(D262,Категории!$A$3:$F$27,4,FALSE)),0)))</f>
        <v>0</v>
      </c>
      <c r="M262" s="30" t="str">
        <f>IF(A262="","",IF(NOT(ISNUMBER(A262)),"ДАТА; ","")&amp;IF(NOT(ISNUMBER(E262)),"СУММА; ","")&amp;IF(AND(B262&lt;&gt;"",D262&lt;&gt;"",IFERROR(VLOOKUP(D262,Категории!$A$3:$B$27,2,FALSE),"")&lt;&gt;B262),"ТИП/КАТЕГОРИЯ; ","")&amp;IF(AND(B262="Доход",G262=""),"НЕТ № КВИТАНЦИИ; ","")&amp;IF(AND(B262="Расход",H262="",IFERROR(VLOOKUP(D262,Категории!$A$3:$D$27,4,FALSE),"")=""),"УКАЖИТЕ ДОЛЮ; ","")&amp;IF(COUNTIFS($A$5:$A$504,A262,$B$5:$B$504,B262,$C$5:$C$504,C262,$E$5:$E$504,E262)&gt;1,"ВОЗМОЖНЫЙ ДУБЛЬ; ","")&amp;IF(AND(A262&lt;&gt;"",A263&lt;&gt;"",A262&lt;A263),"ПОРЯДОК ДАТ; ",""))</f>
        <v/>
      </c>
      <c r="N262" s="30" t="str">
        <f>IF(A262="","",IF(Настройки_2026!$B$6="ДЕМО",1,IF(I262="ДЕМО",0,1)))</f>
        <v/>
      </c>
    </row>
    <row r="263" spans="1:14" x14ac:dyDescent="0.25">
      <c r="A263" s="26"/>
      <c r="B263" s="27"/>
      <c r="C263" s="27"/>
      <c r="D263" s="27"/>
      <c r="E263" s="28"/>
      <c r="F263" s="27"/>
      <c r="G263" s="27"/>
      <c r="H263" s="29"/>
      <c r="I263" s="27"/>
      <c r="J263" s="27"/>
      <c r="K263" s="30" t="str">
        <f t="shared" si="4"/>
        <v/>
      </c>
      <c r="L263" s="31">
        <f>IF(B263&lt;&gt;"Расход",0,IF(H263&lt;&gt;"",E263*H263,IFERROR(IF(VLOOKUP(D263,Категории!$A$3:$F$27,4,FALSE)="",0,E263*VLOOKUP(D263,Категории!$A$3:$F$27,4,FALSE)),0)))</f>
        <v>0</v>
      </c>
      <c r="M263" s="30" t="str">
        <f>IF(A263="","",IF(NOT(ISNUMBER(A263)),"ДАТА; ","")&amp;IF(NOT(ISNUMBER(E263)),"СУММА; ","")&amp;IF(AND(B263&lt;&gt;"",D263&lt;&gt;"",IFERROR(VLOOKUP(D263,Категории!$A$3:$B$27,2,FALSE),"")&lt;&gt;B263),"ТИП/КАТЕГОРИЯ; ","")&amp;IF(AND(B263="Доход",G263=""),"НЕТ № КВИТАНЦИИ; ","")&amp;IF(AND(B263="Расход",H263="",IFERROR(VLOOKUP(D263,Категории!$A$3:$D$27,4,FALSE),"")=""),"УКАЖИТЕ ДОЛЮ; ","")&amp;IF(COUNTIFS($A$5:$A$504,A263,$B$5:$B$504,B263,$C$5:$C$504,C263,$E$5:$E$504,E263)&gt;1,"ВОЗМОЖНЫЙ ДУБЛЬ; ","")&amp;IF(AND(A263&lt;&gt;"",A264&lt;&gt;"",A263&lt;A264),"ПОРЯДОК ДАТ; ",""))</f>
        <v/>
      </c>
      <c r="N263" s="30" t="str">
        <f>IF(A263="","",IF(Настройки_2026!$B$6="ДЕМО",1,IF(I263="ДЕМО",0,1)))</f>
        <v/>
      </c>
    </row>
    <row r="264" spans="1:14" x14ac:dyDescent="0.25">
      <c r="A264" s="26"/>
      <c r="B264" s="27"/>
      <c r="C264" s="27"/>
      <c r="D264" s="27"/>
      <c r="E264" s="28"/>
      <c r="F264" s="27"/>
      <c r="G264" s="27"/>
      <c r="H264" s="29"/>
      <c r="I264" s="27"/>
      <c r="J264" s="27"/>
      <c r="K264" s="30" t="str">
        <f t="shared" si="4"/>
        <v/>
      </c>
      <c r="L264" s="31">
        <f>IF(B264&lt;&gt;"Расход",0,IF(H264&lt;&gt;"",E264*H264,IFERROR(IF(VLOOKUP(D264,Категории!$A$3:$F$27,4,FALSE)="",0,E264*VLOOKUP(D264,Категории!$A$3:$F$27,4,FALSE)),0)))</f>
        <v>0</v>
      </c>
      <c r="M264" s="30" t="str">
        <f>IF(A264="","",IF(NOT(ISNUMBER(A264)),"ДАТА; ","")&amp;IF(NOT(ISNUMBER(E264)),"СУММА; ","")&amp;IF(AND(B264&lt;&gt;"",D264&lt;&gt;"",IFERROR(VLOOKUP(D264,Категории!$A$3:$B$27,2,FALSE),"")&lt;&gt;B264),"ТИП/КАТЕГОРИЯ; ","")&amp;IF(AND(B264="Доход",G264=""),"НЕТ № КВИТАНЦИИ; ","")&amp;IF(AND(B264="Расход",H264="",IFERROR(VLOOKUP(D264,Категории!$A$3:$D$27,4,FALSE),"")=""),"УКАЖИТЕ ДОЛЮ; ","")&amp;IF(COUNTIFS($A$5:$A$504,A264,$B$5:$B$504,B264,$C$5:$C$504,C264,$E$5:$E$504,E264)&gt;1,"ВОЗМОЖНЫЙ ДУБЛЬ; ","")&amp;IF(AND(A264&lt;&gt;"",A265&lt;&gt;"",A264&lt;A265),"ПОРЯДОК ДАТ; ",""))</f>
        <v/>
      </c>
      <c r="N264" s="30" t="str">
        <f>IF(A264="","",IF(Настройки_2026!$B$6="ДЕМО",1,IF(I264="ДЕМО",0,1)))</f>
        <v/>
      </c>
    </row>
    <row r="265" spans="1:14" x14ac:dyDescent="0.25">
      <c r="A265" s="26"/>
      <c r="B265" s="27"/>
      <c r="C265" s="27"/>
      <c r="D265" s="27"/>
      <c r="E265" s="28"/>
      <c r="F265" s="27"/>
      <c r="G265" s="27"/>
      <c r="H265" s="29"/>
      <c r="I265" s="27"/>
      <c r="J265" s="27"/>
      <c r="K265" s="30" t="str">
        <f t="shared" si="4"/>
        <v/>
      </c>
      <c r="L265" s="31">
        <f>IF(B265&lt;&gt;"Расход",0,IF(H265&lt;&gt;"",E265*H265,IFERROR(IF(VLOOKUP(D265,Категории!$A$3:$F$27,4,FALSE)="",0,E265*VLOOKUP(D265,Категории!$A$3:$F$27,4,FALSE)),0)))</f>
        <v>0</v>
      </c>
      <c r="M265" s="30" t="str">
        <f>IF(A265="","",IF(NOT(ISNUMBER(A265)),"ДАТА; ","")&amp;IF(NOT(ISNUMBER(E265)),"СУММА; ","")&amp;IF(AND(B265&lt;&gt;"",D265&lt;&gt;"",IFERROR(VLOOKUP(D265,Категории!$A$3:$B$27,2,FALSE),"")&lt;&gt;B265),"ТИП/КАТЕГОРИЯ; ","")&amp;IF(AND(B265="Доход",G265=""),"НЕТ № КВИТАНЦИИ; ","")&amp;IF(AND(B265="Расход",H265="",IFERROR(VLOOKUP(D265,Категории!$A$3:$D$27,4,FALSE),"")=""),"УКАЖИТЕ ДОЛЮ; ","")&amp;IF(COUNTIFS($A$5:$A$504,A265,$B$5:$B$504,B265,$C$5:$C$504,C265,$E$5:$E$504,E265)&gt;1,"ВОЗМОЖНЫЙ ДУБЛЬ; ","")&amp;IF(AND(A265&lt;&gt;"",A266&lt;&gt;"",A265&lt;A266),"ПОРЯДОК ДАТ; ",""))</f>
        <v/>
      </c>
      <c r="N265" s="30" t="str">
        <f>IF(A265="","",IF(Настройки_2026!$B$6="ДЕМО",1,IF(I265="ДЕМО",0,1)))</f>
        <v/>
      </c>
    </row>
    <row r="266" spans="1:14" x14ac:dyDescent="0.25">
      <c r="A266" s="26"/>
      <c r="B266" s="27"/>
      <c r="C266" s="27"/>
      <c r="D266" s="27"/>
      <c r="E266" s="28"/>
      <c r="F266" s="27"/>
      <c r="G266" s="27"/>
      <c r="H266" s="29"/>
      <c r="I266" s="27"/>
      <c r="J266" s="27"/>
      <c r="K266" s="30" t="str">
        <f t="shared" si="4"/>
        <v/>
      </c>
      <c r="L266" s="31">
        <f>IF(B266&lt;&gt;"Расход",0,IF(H266&lt;&gt;"",E266*H266,IFERROR(IF(VLOOKUP(D266,Категории!$A$3:$F$27,4,FALSE)="",0,E266*VLOOKUP(D266,Категории!$A$3:$F$27,4,FALSE)),0)))</f>
        <v>0</v>
      </c>
      <c r="M266" s="30" t="str">
        <f>IF(A266="","",IF(NOT(ISNUMBER(A266)),"ДАТА; ","")&amp;IF(NOT(ISNUMBER(E266)),"СУММА; ","")&amp;IF(AND(B266&lt;&gt;"",D266&lt;&gt;"",IFERROR(VLOOKUP(D266,Категории!$A$3:$B$27,2,FALSE),"")&lt;&gt;B266),"ТИП/КАТЕГОРИЯ; ","")&amp;IF(AND(B266="Доход",G266=""),"НЕТ № КВИТАНЦИИ; ","")&amp;IF(AND(B266="Расход",H266="",IFERROR(VLOOKUP(D266,Категории!$A$3:$D$27,4,FALSE),"")=""),"УКАЖИТЕ ДОЛЮ; ","")&amp;IF(COUNTIFS($A$5:$A$504,A266,$B$5:$B$504,B266,$C$5:$C$504,C266,$E$5:$E$504,E266)&gt;1,"ВОЗМОЖНЫЙ ДУБЛЬ; ","")&amp;IF(AND(A266&lt;&gt;"",A267&lt;&gt;"",A266&lt;A267),"ПОРЯДОК ДАТ; ",""))</f>
        <v/>
      </c>
      <c r="N266" s="30" t="str">
        <f>IF(A266="","",IF(Настройки_2026!$B$6="ДЕМО",1,IF(I266="ДЕМО",0,1)))</f>
        <v/>
      </c>
    </row>
    <row r="267" spans="1:14" x14ac:dyDescent="0.25">
      <c r="A267" s="26"/>
      <c r="B267" s="27"/>
      <c r="C267" s="27"/>
      <c r="D267" s="27"/>
      <c r="E267" s="28"/>
      <c r="F267" s="27"/>
      <c r="G267" s="27"/>
      <c r="H267" s="29"/>
      <c r="I267" s="27"/>
      <c r="J267" s="27"/>
      <c r="K267" s="30" t="str">
        <f t="shared" si="4"/>
        <v/>
      </c>
      <c r="L267" s="31">
        <f>IF(B267&lt;&gt;"Расход",0,IF(H267&lt;&gt;"",E267*H267,IFERROR(IF(VLOOKUP(D267,Категории!$A$3:$F$27,4,FALSE)="",0,E267*VLOOKUP(D267,Категории!$A$3:$F$27,4,FALSE)),0)))</f>
        <v>0</v>
      </c>
      <c r="M267" s="30" t="str">
        <f>IF(A267="","",IF(NOT(ISNUMBER(A267)),"ДАТА; ","")&amp;IF(NOT(ISNUMBER(E267)),"СУММА; ","")&amp;IF(AND(B267&lt;&gt;"",D267&lt;&gt;"",IFERROR(VLOOKUP(D267,Категории!$A$3:$B$27,2,FALSE),"")&lt;&gt;B267),"ТИП/КАТЕГОРИЯ; ","")&amp;IF(AND(B267="Доход",G267=""),"НЕТ № КВИТАНЦИИ; ","")&amp;IF(AND(B267="Расход",H267="",IFERROR(VLOOKUP(D267,Категории!$A$3:$D$27,4,FALSE),"")=""),"УКАЖИТЕ ДОЛЮ; ","")&amp;IF(COUNTIFS($A$5:$A$504,A267,$B$5:$B$504,B267,$C$5:$C$504,C267,$E$5:$E$504,E267)&gt;1,"ВОЗМОЖНЫЙ ДУБЛЬ; ","")&amp;IF(AND(A267&lt;&gt;"",A268&lt;&gt;"",A267&lt;A268),"ПОРЯДОК ДАТ; ",""))</f>
        <v/>
      </c>
      <c r="N267" s="30" t="str">
        <f>IF(A267="","",IF(Настройки_2026!$B$6="ДЕМО",1,IF(I267="ДЕМО",0,1)))</f>
        <v/>
      </c>
    </row>
    <row r="268" spans="1:14" x14ac:dyDescent="0.25">
      <c r="A268" s="26"/>
      <c r="B268" s="27"/>
      <c r="C268" s="27"/>
      <c r="D268" s="27"/>
      <c r="E268" s="28"/>
      <c r="F268" s="27"/>
      <c r="G268" s="27"/>
      <c r="H268" s="29"/>
      <c r="I268" s="27"/>
      <c r="J268" s="27"/>
      <c r="K268" s="30" t="str">
        <f t="shared" si="4"/>
        <v/>
      </c>
      <c r="L268" s="31">
        <f>IF(B268&lt;&gt;"Расход",0,IF(H268&lt;&gt;"",E268*H268,IFERROR(IF(VLOOKUP(D268,Категории!$A$3:$F$27,4,FALSE)="",0,E268*VLOOKUP(D268,Категории!$A$3:$F$27,4,FALSE)),0)))</f>
        <v>0</v>
      </c>
      <c r="M268" s="30" t="str">
        <f>IF(A268="","",IF(NOT(ISNUMBER(A268)),"ДАТА; ","")&amp;IF(NOT(ISNUMBER(E268)),"СУММА; ","")&amp;IF(AND(B268&lt;&gt;"",D268&lt;&gt;"",IFERROR(VLOOKUP(D268,Категории!$A$3:$B$27,2,FALSE),"")&lt;&gt;B268),"ТИП/КАТЕГОРИЯ; ","")&amp;IF(AND(B268="Доход",G268=""),"НЕТ № КВИТАНЦИИ; ","")&amp;IF(AND(B268="Расход",H268="",IFERROR(VLOOKUP(D268,Категории!$A$3:$D$27,4,FALSE),"")=""),"УКАЖИТЕ ДОЛЮ; ","")&amp;IF(COUNTIFS($A$5:$A$504,A268,$B$5:$B$504,B268,$C$5:$C$504,C268,$E$5:$E$504,E268)&gt;1,"ВОЗМОЖНЫЙ ДУБЛЬ; ","")&amp;IF(AND(A268&lt;&gt;"",A269&lt;&gt;"",A268&lt;A269),"ПОРЯДОК ДАТ; ",""))</f>
        <v/>
      </c>
      <c r="N268" s="30" t="str">
        <f>IF(A268="","",IF(Настройки_2026!$B$6="ДЕМО",1,IF(I268="ДЕМО",0,1)))</f>
        <v/>
      </c>
    </row>
    <row r="269" spans="1:14" x14ac:dyDescent="0.25">
      <c r="A269" s="26"/>
      <c r="B269" s="27"/>
      <c r="C269" s="27"/>
      <c r="D269" s="27"/>
      <c r="E269" s="28"/>
      <c r="F269" s="27"/>
      <c r="G269" s="27"/>
      <c r="H269" s="29"/>
      <c r="I269" s="27"/>
      <c r="J269" s="27"/>
      <c r="K269" s="30" t="str">
        <f t="shared" si="4"/>
        <v/>
      </c>
      <c r="L269" s="31">
        <f>IF(B269&lt;&gt;"Расход",0,IF(H269&lt;&gt;"",E269*H269,IFERROR(IF(VLOOKUP(D269,Категории!$A$3:$F$27,4,FALSE)="",0,E269*VLOOKUP(D269,Категории!$A$3:$F$27,4,FALSE)),0)))</f>
        <v>0</v>
      </c>
      <c r="M269" s="30" t="str">
        <f>IF(A269="","",IF(NOT(ISNUMBER(A269)),"ДАТА; ","")&amp;IF(NOT(ISNUMBER(E269)),"СУММА; ","")&amp;IF(AND(B269&lt;&gt;"",D269&lt;&gt;"",IFERROR(VLOOKUP(D269,Категории!$A$3:$B$27,2,FALSE),"")&lt;&gt;B269),"ТИП/КАТЕГОРИЯ; ","")&amp;IF(AND(B269="Доход",G269=""),"НЕТ № КВИТАНЦИИ; ","")&amp;IF(AND(B269="Расход",H269="",IFERROR(VLOOKUP(D269,Категории!$A$3:$D$27,4,FALSE),"")=""),"УКАЖИТЕ ДОЛЮ; ","")&amp;IF(COUNTIFS($A$5:$A$504,A269,$B$5:$B$504,B269,$C$5:$C$504,C269,$E$5:$E$504,E269)&gt;1,"ВОЗМОЖНЫЙ ДУБЛЬ; ","")&amp;IF(AND(A269&lt;&gt;"",A270&lt;&gt;"",A269&lt;A270),"ПОРЯДОК ДАТ; ",""))</f>
        <v/>
      </c>
      <c r="N269" s="30" t="str">
        <f>IF(A269="","",IF(Настройки_2026!$B$6="ДЕМО",1,IF(I269="ДЕМО",0,1)))</f>
        <v/>
      </c>
    </row>
    <row r="270" spans="1:14" x14ac:dyDescent="0.25">
      <c r="A270" s="26"/>
      <c r="B270" s="27"/>
      <c r="C270" s="27"/>
      <c r="D270" s="27"/>
      <c r="E270" s="28"/>
      <c r="F270" s="27"/>
      <c r="G270" s="27"/>
      <c r="H270" s="29"/>
      <c r="I270" s="27"/>
      <c r="J270" s="27"/>
      <c r="K270" s="30" t="str">
        <f t="shared" si="4"/>
        <v/>
      </c>
      <c r="L270" s="31">
        <f>IF(B270&lt;&gt;"Расход",0,IF(H270&lt;&gt;"",E270*H270,IFERROR(IF(VLOOKUP(D270,Категории!$A$3:$F$27,4,FALSE)="",0,E270*VLOOKUP(D270,Категории!$A$3:$F$27,4,FALSE)),0)))</f>
        <v>0</v>
      </c>
      <c r="M270" s="30" t="str">
        <f>IF(A270="","",IF(NOT(ISNUMBER(A270)),"ДАТА; ","")&amp;IF(NOT(ISNUMBER(E270)),"СУММА; ","")&amp;IF(AND(B270&lt;&gt;"",D270&lt;&gt;"",IFERROR(VLOOKUP(D270,Категории!$A$3:$B$27,2,FALSE),"")&lt;&gt;B270),"ТИП/КАТЕГОРИЯ; ","")&amp;IF(AND(B270="Доход",G270=""),"НЕТ № КВИТАНЦИИ; ","")&amp;IF(AND(B270="Расход",H270="",IFERROR(VLOOKUP(D270,Категории!$A$3:$D$27,4,FALSE),"")=""),"УКАЖИТЕ ДОЛЮ; ","")&amp;IF(COUNTIFS($A$5:$A$504,A270,$B$5:$B$504,B270,$C$5:$C$504,C270,$E$5:$E$504,E270)&gt;1,"ВОЗМОЖНЫЙ ДУБЛЬ; ","")&amp;IF(AND(A270&lt;&gt;"",A271&lt;&gt;"",A270&lt;A271),"ПОРЯДОК ДАТ; ",""))</f>
        <v/>
      </c>
      <c r="N270" s="30" t="str">
        <f>IF(A270="","",IF(Настройки_2026!$B$6="ДЕМО",1,IF(I270="ДЕМО",0,1)))</f>
        <v/>
      </c>
    </row>
    <row r="271" spans="1:14" x14ac:dyDescent="0.25">
      <c r="A271" s="26"/>
      <c r="B271" s="27"/>
      <c r="C271" s="27"/>
      <c r="D271" s="27"/>
      <c r="E271" s="28"/>
      <c r="F271" s="27"/>
      <c r="G271" s="27"/>
      <c r="H271" s="29"/>
      <c r="I271" s="27"/>
      <c r="J271" s="27"/>
      <c r="K271" s="30" t="str">
        <f t="shared" si="4"/>
        <v/>
      </c>
      <c r="L271" s="31">
        <f>IF(B271&lt;&gt;"Расход",0,IF(H271&lt;&gt;"",E271*H271,IFERROR(IF(VLOOKUP(D271,Категории!$A$3:$F$27,4,FALSE)="",0,E271*VLOOKUP(D271,Категории!$A$3:$F$27,4,FALSE)),0)))</f>
        <v>0</v>
      </c>
      <c r="M271" s="30" t="str">
        <f>IF(A271="","",IF(NOT(ISNUMBER(A271)),"ДАТА; ","")&amp;IF(NOT(ISNUMBER(E271)),"СУММА; ","")&amp;IF(AND(B271&lt;&gt;"",D271&lt;&gt;"",IFERROR(VLOOKUP(D271,Категории!$A$3:$B$27,2,FALSE),"")&lt;&gt;B271),"ТИП/КАТЕГОРИЯ; ","")&amp;IF(AND(B271="Доход",G271=""),"НЕТ № КВИТАНЦИИ; ","")&amp;IF(AND(B271="Расход",H271="",IFERROR(VLOOKUP(D271,Категории!$A$3:$D$27,4,FALSE),"")=""),"УКАЖИТЕ ДОЛЮ; ","")&amp;IF(COUNTIFS($A$5:$A$504,A271,$B$5:$B$504,B271,$C$5:$C$504,C271,$E$5:$E$504,E271)&gt;1,"ВОЗМОЖНЫЙ ДУБЛЬ; ","")&amp;IF(AND(A271&lt;&gt;"",A272&lt;&gt;"",A271&lt;A272),"ПОРЯДОК ДАТ; ",""))</f>
        <v/>
      </c>
      <c r="N271" s="30" t="str">
        <f>IF(A271="","",IF(Настройки_2026!$B$6="ДЕМО",1,IF(I271="ДЕМО",0,1)))</f>
        <v/>
      </c>
    </row>
    <row r="272" spans="1:14" x14ac:dyDescent="0.25">
      <c r="A272" s="26"/>
      <c r="B272" s="27"/>
      <c r="C272" s="27"/>
      <c r="D272" s="27"/>
      <c r="E272" s="28"/>
      <c r="F272" s="27"/>
      <c r="G272" s="27"/>
      <c r="H272" s="29"/>
      <c r="I272" s="27"/>
      <c r="J272" s="27"/>
      <c r="K272" s="30" t="str">
        <f t="shared" si="4"/>
        <v/>
      </c>
      <c r="L272" s="31">
        <f>IF(B272&lt;&gt;"Расход",0,IF(H272&lt;&gt;"",E272*H272,IFERROR(IF(VLOOKUP(D272,Категории!$A$3:$F$27,4,FALSE)="",0,E272*VLOOKUP(D272,Категории!$A$3:$F$27,4,FALSE)),0)))</f>
        <v>0</v>
      </c>
      <c r="M272" s="30" t="str">
        <f>IF(A272="","",IF(NOT(ISNUMBER(A272)),"ДАТА; ","")&amp;IF(NOT(ISNUMBER(E272)),"СУММА; ","")&amp;IF(AND(B272&lt;&gt;"",D272&lt;&gt;"",IFERROR(VLOOKUP(D272,Категории!$A$3:$B$27,2,FALSE),"")&lt;&gt;B272),"ТИП/КАТЕГОРИЯ; ","")&amp;IF(AND(B272="Доход",G272=""),"НЕТ № КВИТАНЦИИ; ","")&amp;IF(AND(B272="Расход",H272="",IFERROR(VLOOKUP(D272,Категории!$A$3:$D$27,4,FALSE),"")=""),"УКАЖИТЕ ДОЛЮ; ","")&amp;IF(COUNTIFS($A$5:$A$504,A272,$B$5:$B$504,B272,$C$5:$C$504,C272,$E$5:$E$504,E272)&gt;1,"ВОЗМОЖНЫЙ ДУБЛЬ; ","")&amp;IF(AND(A272&lt;&gt;"",A273&lt;&gt;"",A272&lt;A273),"ПОРЯДОК ДАТ; ",""))</f>
        <v/>
      </c>
      <c r="N272" s="30" t="str">
        <f>IF(A272="","",IF(Настройки_2026!$B$6="ДЕМО",1,IF(I272="ДЕМО",0,1)))</f>
        <v/>
      </c>
    </row>
    <row r="273" spans="1:14" x14ac:dyDescent="0.25">
      <c r="A273" s="26"/>
      <c r="B273" s="27"/>
      <c r="C273" s="27"/>
      <c r="D273" s="27"/>
      <c r="E273" s="28"/>
      <c r="F273" s="27"/>
      <c r="G273" s="27"/>
      <c r="H273" s="29"/>
      <c r="I273" s="27"/>
      <c r="J273" s="27"/>
      <c r="K273" s="30" t="str">
        <f t="shared" si="4"/>
        <v/>
      </c>
      <c r="L273" s="31">
        <f>IF(B273&lt;&gt;"Расход",0,IF(H273&lt;&gt;"",E273*H273,IFERROR(IF(VLOOKUP(D273,Категории!$A$3:$F$27,4,FALSE)="",0,E273*VLOOKUP(D273,Категории!$A$3:$F$27,4,FALSE)),0)))</f>
        <v>0</v>
      </c>
      <c r="M273" s="30" t="str">
        <f>IF(A273="","",IF(NOT(ISNUMBER(A273)),"ДАТА; ","")&amp;IF(NOT(ISNUMBER(E273)),"СУММА; ","")&amp;IF(AND(B273&lt;&gt;"",D273&lt;&gt;"",IFERROR(VLOOKUP(D273,Категории!$A$3:$B$27,2,FALSE),"")&lt;&gt;B273),"ТИП/КАТЕГОРИЯ; ","")&amp;IF(AND(B273="Доход",G273=""),"НЕТ № КВИТАНЦИИ; ","")&amp;IF(AND(B273="Расход",H273="",IFERROR(VLOOKUP(D273,Категории!$A$3:$D$27,4,FALSE),"")=""),"УКАЖИТЕ ДОЛЮ; ","")&amp;IF(COUNTIFS($A$5:$A$504,A273,$B$5:$B$504,B273,$C$5:$C$504,C273,$E$5:$E$504,E273)&gt;1,"ВОЗМОЖНЫЙ ДУБЛЬ; ","")&amp;IF(AND(A273&lt;&gt;"",A274&lt;&gt;"",A273&lt;A274),"ПОРЯДОК ДАТ; ",""))</f>
        <v/>
      </c>
      <c r="N273" s="30" t="str">
        <f>IF(A273="","",IF(Настройки_2026!$B$6="ДЕМО",1,IF(I273="ДЕМО",0,1)))</f>
        <v/>
      </c>
    </row>
    <row r="274" spans="1:14" x14ac:dyDescent="0.25">
      <c r="A274" s="26"/>
      <c r="B274" s="27"/>
      <c r="C274" s="27"/>
      <c r="D274" s="27"/>
      <c r="E274" s="28"/>
      <c r="F274" s="27"/>
      <c r="G274" s="27"/>
      <c r="H274" s="29"/>
      <c r="I274" s="27"/>
      <c r="J274" s="27"/>
      <c r="K274" s="30" t="str">
        <f t="shared" si="4"/>
        <v/>
      </c>
      <c r="L274" s="31">
        <f>IF(B274&lt;&gt;"Расход",0,IF(H274&lt;&gt;"",E274*H274,IFERROR(IF(VLOOKUP(D274,Категории!$A$3:$F$27,4,FALSE)="",0,E274*VLOOKUP(D274,Категории!$A$3:$F$27,4,FALSE)),0)))</f>
        <v>0</v>
      </c>
      <c r="M274" s="30" t="str">
        <f>IF(A274="","",IF(NOT(ISNUMBER(A274)),"ДАТА; ","")&amp;IF(NOT(ISNUMBER(E274)),"СУММА; ","")&amp;IF(AND(B274&lt;&gt;"",D274&lt;&gt;"",IFERROR(VLOOKUP(D274,Категории!$A$3:$B$27,2,FALSE),"")&lt;&gt;B274),"ТИП/КАТЕГОРИЯ; ","")&amp;IF(AND(B274="Доход",G274=""),"НЕТ № КВИТАНЦИИ; ","")&amp;IF(AND(B274="Расход",H274="",IFERROR(VLOOKUP(D274,Категории!$A$3:$D$27,4,FALSE),"")=""),"УКАЖИТЕ ДОЛЮ; ","")&amp;IF(COUNTIFS($A$5:$A$504,A274,$B$5:$B$504,B274,$C$5:$C$504,C274,$E$5:$E$504,E274)&gt;1,"ВОЗМОЖНЫЙ ДУБЛЬ; ","")&amp;IF(AND(A274&lt;&gt;"",A275&lt;&gt;"",A274&lt;A275),"ПОРЯДОК ДАТ; ",""))</f>
        <v/>
      </c>
      <c r="N274" s="30" t="str">
        <f>IF(A274="","",IF(Настройки_2026!$B$6="ДЕМО",1,IF(I274="ДЕМО",0,1)))</f>
        <v/>
      </c>
    </row>
    <row r="275" spans="1:14" x14ac:dyDescent="0.25">
      <c r="A275" s="26"/>
      <c r="B275" s="27"/>
      <c r="C275" s="27"/>
      <c r="D275" s="27"/>
      <c r="E275" s="28"/>
      <c r="F275" s="27"/>
      <c r="G275" s="27"/>
      <c r="H275" s="29"/>
      <c r="I275" s="27"/>
      <c r="J275" s="27"/>
      <c r="K275" s="30" t="str">
        <f t="shared" si="4"/>
        <v/>
      </c>
      <c r="L275" s="31">
        <f>IF(B275&lt;&gt;"Расход",0,IF(H275&lt;&gt;"",E275*H275,IFERROR(IF(VLOOKUP(D275,Категории!$A$3:$F$27,4,FALSE)="",0,E275*VLOOKUP(D275,Категории!$A$3:$F$27,4,FALSE)),0)))</f>
        <v>0</v>
      </c>
      <c r="M275" s="30" t="str">
        <f>IF(A275="","",IF(NOT(ISNUMBER(A275)),"ДАТА; ","")&amp;IF(NOT(ISNUMBER(E275)),"СУММА; ","")&amp;IF(AND(B275&lt;&gt;"",D275&lt;&gt;"",IFERROR(VLOOKUP(D275,Категории!$A$3:$B$27,2,FALSE),"")&lt;&gt;B275),"ТИП/КАТЕГОРИЯ; ","")&amp;IF(AND(B275="Доход",G275=""),"НЕТ № КВИТАНЦИИ; ","")&amp;IF(AND(B275="Расход",H275="",IFERROR(VLOOKUP(D275,Категории!$A$3:$D$27,4,FALSE),"")=""),"УКАЖИТЕ ДОЛЮ; ","")&amp;IF(COUNTIFS($A$5:$A$504,A275,$B$5:$B$504,B275,$C$5:$C$504,C275,$E$5:$E$504,E275)&gt;1,"ВОЗМОЖНЫЙ ДУБЛЬ; ","")&amp;IF(AND(A275&lt;&gt;"",A276&lt;&gt;"",A275&lt;A276),"ПОРЯДОК ДАТ; ",""))</f>
        <v/>
      </c>
      <c r="N275" s="30" t="str">
        <f>IF(A275="","",IF(Настройки_2026!$B$6="ДЕМО",1,IF(I275="ДЕМО",0,1)))</f>
        <v/>
      </c>
    </row>
    <row r="276" spans="1:14" x14ac:dyDescent="0.25">
      <c r="A276" s="26"/>
      <c r="B276" s="27"/>
      <c r="C276" s="27"/>
      <c r="D276" s="27"/>
      <c r="E276" s="28"/>
      <c r="F276" s="27"/>
      <c r="G276" s="27"/>
      <c r="H276" s="29"/>
      <c r="I276" s="27"/>
      <c r="J276" s="27"/>
      <c r="K276" s="30" t="str">
        <f t="shared" si="4"/>
        <v/>
      </c>
      <c r="L276" s="31">
        <f>IF(B276&lt;&gt;"Расход",0,IF(H276&lt;&gt;"",E276*H276,IFERROR(IF(VLOOKUP(D276,Категории!$A$3:$F$27,4,FALSE)="",0,E276*VLOOKUP(D276,Категории!$A$3:$F$27,4,FALSE)),0)))</f>
        <v>0</v>
      </c>
      <c r="M276" s="30" t="str">
        <f>IF(A276="","",IF(NOT(ISNUMBER(A276)),"ДАТА; ","")&amp;IF(NOT(ISNUMBER(E276)),"СУММА; ","")&amp;IF(AND(B276&lt;&gt;"",D276&lt;&gt;"",IFERROR(VLOOKUP(D276,Категории!$A$3:$B$27,2,FALSE),"")&lt;&gt;B276),"ТИП/КАТЕГОРИЯ; ","")&amp;IF(AND(B276="Доход",G276=""),"НЕТ № КВИТАНЦИИ; ","")&amp;IF(AND(B276="Расход",H276="",IFERROR(VLOOKUP(D276,Категории!$A$3:$D$27,4,FALSE),"")=""),"УКАЖИТЕ ДОЛЮ; ","")&amp;IF(COUNTIFS($A$5:$A$504,A276,$B$5:$B$504,B276,$C$5:$C$504,C276,$E$5:$E$504,E276)&gt;1,"ВОЗМОЖНЫЙ ДУБЛЬ; ","")&amp;IF(AND(A276&lt;&gt;"",A277&lt;&gt;"",A276&lt;A277),"ПОРЯДОК ДАТ; ",""))</f>
        <v/>
      </c>
      <c r="N276" s="30" t="str">
        <f>IF(A276="","",IF(Настройки_2026!$B$6="ДЕМО",1,IF(I276="ДЕМО",0,1)))</f>
        <v/>
      </c>
    </row>
    <row r="277" spans="1:14" x14ac:dyDescent="0.25">
      <c r="A277" s="26"/>
      <c r="B277" s="27"/>
      <c r="C277" s="27"/>
      <c r="D277" s="27"/>
      <c r="E277" s="28"/>
      <c r="F277" s="27"/>
      <c r="G277" s="27"/>
      <c r="H277" s="29"/>
      <c r="I277" s="27"/>
      <c r="J277" s="27"/>
      <c r="K277" s="30" t="str">
        <f t="shared" si="4"/>
        <v/>
      </c>
      <c r="L277" s="31">
        <f>IF(B277&lt;&gt;"Расход",0,IF(H277&lt;&gt;"",E277*H277,IFERROR(IF(VLOOKUP(D277,Категории!$A$3:$F$27,4,FALSE)="",0,E277*VLOOKUP(D277,Категории!$A$3:$F$27,4,FALSE)),0)))</f>
        <v>0</v>
      </c>
      <c r="M277" s="30" t="str">
        <f>IF(A277="","",IF(NOT(ISNUMBER(A277)),"ДАТА; ","")&amp;IF(NOT(ISNUMBER(E277)),"СУММА; ","")&amp;IF(AND(B277&lt;&gt;"",D277&lt;&gt;"",IFERROR(VLOOKUP(D277,Категории!$A$3:$B$27,2,FALSE),"")&lt;&gt;B277),"ТИП/КАТЕГОРИЯ; ","")&amp;IF(AND(B277="Доход",G277=""),"НЕТ № КВИТАНЦИИ; ","")&amp;IF(AND(B277="Расход",H277="",IFERROR(VLOOKUP(D277,Категории!$A$3:$D$27,4,FALSE),"")=""),"УКАЖИТЕ ДОЛЮ; ","")&amp;IF(COUNTIFS($A$5:$A$504,A277,$B$5:$B$504,B277,$C$5:$C$504,C277,$E$5:$E$504,E277)&gt;1,"ВОЗМОЖНЫЙ ДУБЛЬ; ","")&amp;IF(AND(A277&lt;&gt;"",A278&lt;&gt;"",A277&lt;A278),"ПОРЯДОК ДАТ; ",""))</f>
        <v/>
      </c>
      <c r="N277" s="30" t="str">
        <f>IF(A277="","",IF(Настройки_2026!$B$6="ДЕМО",1,IF(I277="ДЕМО",0,1)))</f>
        <v/>
      </c>
    </row>
    <row r="278" spans="1:14" x14ac:dyDescent="0.25">
      <c r="A278" s="26"/>
      <c r="B278" s="27"/>
      <c r="C278" s="27"/>
      <c r="D278" s="27"/>
      <c r="E278" s="28"/>
      <c r="F278" s="27"/>
      <c r="G278" s="27"/>
      <c r="H278" s="29"/>
      <c r="I278" s="27"/>
      <c r="J278" s="27"/>
      <c r="K278" s="30" t="str">
        <f t="shared" si="4"/>
        <v/>
      </c>
      <c r="L278" s="31">
        <f>IF(B278&lt;&gt;"Расход",0,IF(H278&lt;&gt;"",E278*H278,IFERROR(IF(VLOOKUP(D278,Категории!$A$3:$F$27,4,FALSE)="",0,E278*VLOOKUP(D278,Категории!$A$3:$F$27,4,FALSE)),0)))</f>
        <v>0</v>
      </c>
      <c r="M278" s="30" t="str">
        <f>IF(A278="","",IF(NOT(ISNUMBER(A278)),"ДАТА; ","")&amp;IF(NOT(ISNUMBER(E278)),"СУММА; ","")&amp;IF(AND(B278&lt;&gt;"",D278&lt;&gt;"",IFERROR(VLOOKUP(D278,Категории!$A$3:$B$27,2,FALSE),"")&lt;&gt;B278),"ТИП/КАТЕГОРИЯ; ","")&amp;IF(AND(B278="Доход",G278=""),"НЕТ № КВИТАНЦИИ; ","")&amp;IF(AND(B278="Расход",H278="",IFERROR(VLOOKUP(D278,Категории!$A$3:$D$27,4,FALSE),"")=""),"УКАЖИТЕ ДОЛЮ; ","")&amp;IF(COUNTIFS($A$5:$A$504,A278,$B$5:$B$504,B278,$C$5:$C$504,C278,$E$5:$E$504,E278)&gt;1,"ВОЗМОЖНЫЙ ДУБЛЬ; ","")&amp;IF(AND(A278&lt;&gt;"",A279&lt;&gt;"",A278&lt;A279),"ПОРЯДОК ДАТ; ",""))</f>
        <v/>
      </c>
      <c r="N278" s="30" t="str">
        <f>IF(A278="","",IF(Настройки_2026!$B$6="ДЕМО",1,IF(I278="ДЕМО",0,1)))</f>
        <v/>
      </c>
    </row>
    <row r="279" spans="1:14" x14ac:dyDescent="0.25">
      <c r="A279" s="26"/>
      <c r="B279" s="27"/>
      <c r="C279" s="27"/>
      <c r="D279" s="27"/>
      <c r="E279" s="28"/>
      <c r="F279" s="27"/>
      <c r="G279" s="27"/>
      <c r="H279" s="29"/>
      <c r="I279" s="27"/>
      <c r="J279" s="27"/>
      <c r="K279" s="30" t="str">
        <f t="shared" si="4"/>
        <v/>
      </c>
      <c r="L279" s="31">
        <f>IF(B279&lt;&gt;"Расход",0,IF(H279&lt;&gt;"",E279*H279,IFERROR(IF(VLOOKUP(D279,Категории!$A$3:$F$27,4,FALSE)="",0,E279*VLOOKUP(D279,Категории!$A$3:$F$27,4,FALSE)),0)))</f>
        <v>0</v>
      </c>
      <c r="M279" s="30" t="str">
        <f>IF(A279="","",IF(NOT(ISNUMBER(A279)),"ДАТА; ","")&amp;IF(NOT(ISNUMBER(E279)),"СУММА; ","")&amp;IF(AND(B279&lt;&gt;"",D279&lt;&gt;"",IFERROR(VLOOKUP(D279,Категории!$A$3:$B$27,2,FALSE),"")&lt;&gt;B279),"ТИП/КАТЕГОРИЯ; ","")&amp;IF(AND(B279="Доход",G279=""),"НЕТ № КВИТАНЦИИ; ","")&amp;IF(AND(B279="Расход",H279="",IFERROR(VLOOKUP(D279,Категории!$A$3:$D$27,4,FALSE),"")=""),"УКАЖИТЕ ДОЛЮ; ","")&amp;IF(COUNTIFS($A$5:$A$504,A279,$B$5:$B$504,B279,$C$5:$C$504,C279,$E$5:$E$504,E279)&gt;1,"ВОЗМОЖНЫЙ ДУБЛЬ; ","")&amp;IF(AND(A279&lt;&gt;"",A280&lt;&gt;"",A279&lt;A280),"ПОРЯДОК ДАТ; ",""))</f>
        <v/>
      </c>
      <c r="N279" s="30" t="str">
        <f>IF(A279="","",IF(Настройки_2026!$B$6="ДЕМО",1,IF(I279="ДЕМО",0,1)))</f>
        <v/>
      </c>
    </row>
    <row r="280" spans="1:14" x14ac:dyDescent="0.25">
      <c r="A280" s="26"/>
      <c r="B280" s="27"/>
      <c r="C280" s="27"/>
      <c r="D280" s="27"/>
      <c r="E280" s="28"/>
      <c r="F280" s="27"/>
      <c r="G280" s="27"/>
      <c r="H280" s="29"/>
      <c r="I280" s="27"/>
      <c r="J280" s="27"/>
      <c r="K280" s="30" t="str">
        <f t="shared" si="4"/>
        <v/>
      </c>
      <c r="L280" s="31">
        <f>IF(B280&lt;&gt;"Расход",0,IF(H280&lt;&gt;"",E280*H280,IFERROR(IF(VLOOKUP(D280,Категории!$A$3:$F$27,4,FALSE)="",0,E280*VLOOKUP(D280,Категории!$A$3:$F$27,4,FALSE)),0)))</f>
        <v>0</v>
      </c>
      <c r="M280" s="30" t="str">
        <f>IF(A280="","",IF(NOT(ISNUMBER(A280)),"ДАТА; ","")&amp;IF(NOT(ISNUMBER(E280)),"СУММА; ","")&amp;IF(AND(B280&lt;&gt;"",D280&lt;&gt;"",IFERROR(VLOOKUP(D280,Категории!$A$3:$B$27,2,FALSE),"")&lt;&gt;B280),"ТИП/КАТЕГОРИЯ; ","")&amp;IF(AND(B280="Доход",G280=""),"НЕТ № КВИТАНЦИИ; ","")&amp;IF(AND(B280="Расход",H280="",IFERROR(VLOOKUP(D280,Категории!$A$3:$D$27,4,FALSE),"")=""),"УКАЖИТЕ ДОЛЮ; ","")&amp;IF(COUNTIFS($A$5:$A$504,A280,$B$5:$B$504,B280,$C$5:$C$504,C280,$E$5:$E$504,E280)&gt;1,"ВОЗМОЖНЫЙ ДУБЛЬ; ","")&amp;IF(AND(A280&lt;&gt;"",A281&lt;&gt;"",A280&lt;A281),"ПОРЯДОК ДАТ; ",""))</f>
        <v/>
      </c>
      <c r="N280" s="30" t="str">
        <f>IF(A280="","",IF(Настройки_2026!$B$6="ДЕМО",1,IF(I280="ДЕМО",0,1)))</f>
        <v/>
      </c>
    </row>
    <row r="281" spans="1:14" x14ac:dyDescent="0.25">
      <c r="A281" s="26"/>
      <c r="B281" s="27"/>
      <c r="C281" s="27"/>
      <c r="D281" s="27"/>
      <c r="E281" s="28"/>
      <c r="F281" s="27"/>
      <c r="G281" s="27"/>
      <c r="H281" s="29"/>
      <c r="I281" s="27"/>
      <c r="J281" s="27"/>
      <c r="K281" s="30" t="str">
        <f t="shared" si="4"/>
        <v/>
      </c>
      <c r="L281" s="31">
        <f>IF(B281&lt;&gt;"Расход",0,IF(H281&lt;&gt;"",E281*H281,IFERROR(IF(VLOOKUP(D281,Категории!$A$3:$F$27,4,FALSE)="",0,E281*VLOOKUP(D281,Категории!$A$3:$F$27,4,FALSE)),0)))</f>
        <v>0</v>
      </c>
      <c r="M281" s="30" t="str">
        <f>IF(A281="","",IF(NOT(ISNUMBER(A281)),"ДАТА; ","")&amp;IF(NOT(ISNUMBER(E281)),"СУММА; ","")&amp;IF(AND(B281&lt;&gt;"",D281&lt;&gt;"",IFERROR(VLOOKUP(D281,Категории!$A$3:$B$27,2,FALSE),"")&lt;&gt;B281),"ТИП/КАТЕГОРИЯ; ","")&amp;IF(AND(B281="Доход",G281=""),"НЕТ № КВИТАНЦИИ; ","")&amp;IF(AND(B281="Расход",H281="",IFERROR(VLOOKUP(D281,Категории!$A$3:$D$27,4,FALSE),"")=""),"УКАЖИТЕ ДОЛЮ; ","")&amp;IF(COUNTIFS($A$5:$A$504,A281,$B$5:$B$504,B281,$C$5:$C$504,C281,$E$5:$E$504,E281)&gt;1,"ВОЗМОЖНЫЙ ДУБЛЬ; ","")&amp;IF(AND(A281&lt;&gt;"",A282&lt;&gt;"",A281&lt;A282),"ПОРЯДОК ДАТ; ",""))</f>
        <v/>
      </c>
      <c r="N281" s="30" t="str">
        <f>IF(A281="","",IF(Настройки_2026!$B$6="ДЕМО",1,IF(I281="ДЕМО",0,1)))</f>
        <v/>
      </c>
    </row>
    <row r="282" spans="1:14" x14ac:dyDescent="0.25">
      <c r="A282" s="26"/>
      <c r="B282" s="27"/>
      <c r="C282" s="27"/>
      <c r="D282" s="27"/>
      <c r="E282" s="28"/>
      <c r="F282" s="27"/>
      <c r="G282" s="27"/>
      <c r="H282" s="29"/>
      <c r="I282" s="27"/>
      <c r="J282" s="27"/>
      <c r="K282" s="30" t="str">
        <f t="shared" si="4"/>
        <v/>
      </c>
      <c r="L282" s="31">
        <f>IF(B282&lt;&gt;"Расход",0,IF(H282&lt;&gt;"",E282*H282,IFERROR(IF(VLOOKUP(D282,Категории!$A$3:$F$27,4,FALSE)="",0,E282*VLOOKUP(D282,Категории!$A$3:$F$27,4,FALSE)),0)))</f>
        <v>0</v>
      </c>
      <c r="M282" s="30" t="str">
        <f>IF(A282="","",IF(NOT(ISNUMBER(A282)),"ДАТА; ","")&amp;IF(NOT(ISNUMBER(E282)),"СУММА; ","")&amp;IF(AND(B282&lt;&gt;"",D282&lt;&gt;"",IFERROR(VLOOKUP(D282,Категории!$A$3:$B$27,2,FALSE),"")&lt;&gt;B282),"ТИП/КАТЕГОРИЯ; ","")&amp;IF(AND(B282="Доход",G282=""),"НЕТ № КВИТАНЦИИ; ","")&amp;IF(AND(B282="Расход",H282="",IFERROR(VLOOKUP(D282,Категории!$A$3:$D$27,4,FALSE),"")=""),"УКАЖИТЕ ДОЛЮ; ","")&amp;IF(COUNTIFS($A$5:$A$504,A282,$B$5:$B$504,B282,$C$5:$C$504,C282,$E$5:$E$504,E282)&gt;1,"ВОЗМОЖНЫЙ ДУБЛЬ; ","")&amp;IF(AND(A282&lt;&gt;"",A283&lt;&gt;"",A282&lt;A283),"ПОРЯДОК ДАТ; ",""))</f>
        <v/>
      </c>
      <c r="N282" s="30" t="str">
        <f>IF(A282="","",IF(Настройки_2026!$B$6="ДЕМО",1,IF(I282="ДЕМО",0,1)))</f>
        <v/>
      </c>
    </row>
    <row r="283" spans="1:14" x14ac:dyDescent="0.25">
      <c r="A283" s="26"/>
      <c r="B283" s="27"/>
      <c r="C283" s="27"/>
      <c r="D283" s="27"/>
      <c r="E283" s="28"/>
      <c r="F283" s="27"/>
      <c r="G283" s="27"/>
      <c r="H283" s="29"/>
      <c r="I283" s="27"/>
      <c r="J283" s="27"/>
      <c r="K283" s="30" t="str">
        <f t="shared" si="4"/>
        <v/>
      </c>
      <c r="L283" s="31">
        <f>IF(B283&lt;&gt;"Расход",0,IF(H283&lt;&gt;"",E283*H283,IFERROR(IF(VLOOKUP(D283,Категории!$A$3:$F$27,4,FALSE)="",0,E283*VLOOKUP(D283,Категории!$A$3:$F$27,4,FALSE)),0)))</f>
        <v>0</v>
      </c>
      <c r="M283" s="30" t="str">
        <f>IF(A283="","",IF(NOT(ISNUMBER(A283)),"ДАТА; ","")&amp;IF(NOT(ISNUMBER(E283)),"СУММА; ","")&amp;IF(AND(B283&lt;&gt;"",D283&lt;&gt;"",IFERROR(VLOOKUP(D283,Категории!$A$3:$B$27,2,FALSE),"")&lt;&gt;B283),"ТИП/КАТЕГОРИЯ; ","")&amp;IF(AND(B283="Доход",G283=""),"НЕТ № КВИТАНЦИИ; ","")&amp;IF(AND(B283="Расход",H283="",IFERROR(VLOOKUP(D283,Категории!$A$3:$D$27,4,FALSE),"")=""),"УКАЖИТЕ ДОЛЮ; ","")&amp;IF(COUNTIFS($A$5:$A$504,A283,$B$5:$B$504,B283,$C$5:$C$504,C283,$E$5:$E$504,E283)&gt;1,"ВОЗМОЖНЫЙ ДУБЛЬ; ","")&amp;IF(AND(A283&lt;&gt;"",A284&lt;&gt;"",A283&lt;A284),"ПОРЯДОК ДАТ; ",""))</f>
        <v/>
      </c>
      <c r="N283" s="30" t="str">
        <f>IF(A283="","",IF(Настройки_2026!$B$6="ДЕМО",1,IF(I283="ДЕМО",0,1)))</f>
        <v/>
      </c>
    </row>
    <row r="284" spans="1:14" x14ac:dyDescent="0.25">
      <c r="A284" s="26"/>
      <c r="B284" s="27"/>
      <c r="C284" s="27"/>
      <c r="D284" s="27"/>
      <c r="E284" s="28"/>
      <c r="F284" s="27"/>
      <c r="G284" s="27"/>
      <c r="H284" s="29"/>
      <c r="I284" s="27"/>
      <c r="J284" s="27"/>
      <c r="K284" s="30" t="str">
        <f t="shared" si="4"/>
        <v/>
      </c>
      <c r="L284" s="31">
        <f>IF(B284&lt;&gt;"Расход",0,IF(H284&lt;&gt;"",E284*H284,IFERROR(IF(VLOOKUP(D284,Категории!$A$3:$F$27,4,FALSE)="",0,E284*VLOOKUP(D284,Категории!$A$3:$F$27,4,FALSE)),0)))</f>
        <v>0</v>
      </c>
      <c r="M284" s="30" t="str">
        <f>IF(A284="","",IF(NOT(ISNUMBER(A284)),"ДАТА; ","")&amp;IF(NOT(ISNUMBER(E284)),"СУММА; ","")&amp;IF(AND(B284&lt;&gt;"",D284&lt;&gt;"",IFERROR(VLOOKUP(D284,Категории!$A$3:$B$27,2,FALSE),"")&lt;&gt;B284),"ТИП/КАТЕГОРИЯ; ","")&amp;IF(AND(B284="Доход",G284=""),"НЕТ № КВИТАНЦИИ; ","")&amp;IF(AND(B284="Расход",H284="",IFERROR(VLOOKUP(D284,Категории!$A$3:$D$27,4,FALSE),"")=""),"УКАЖИТЕ ДОЛЮ; ","")&amp;IF(COUNTIFS($A$5:$A$504,A284,$B$5:$B$504,B284,$C$5:$C$504,C284,$E$5:$E$504,E284)&gt;1,"ВОЗМОЖНЫЙ ДУБЛЬ; ","")&amp;IF(AND(A284&lt;&gt;"",A285&lt;&gt;"",A284&lt;A285),"ПОРЯДОК ДАТ; ",""))</f>
        <v/>
      </c>
      <c r="N284" s="30" t="str">
        <f>IF(A284="","",IF(Настройки_2026!$B$6="ДЕМО",1,IF(I284="ДЕМО",0,1)))</f>
        <v/>
      </c>
    </row>
    <row r="285" spans="1:14" x14ac:dyDescent="0.25">
      <c r="A285" s="26"/>
      <c r="B285" s="27"/>
      <c r="C285" s="27"/>
      <c r="D285" s="27"/>
      <c r="E285" s="28"/>
      <c r="F285" s="27"/>
      <c r="G285" s="27"/>
      <c r="H285" s="29"/>
      <c r="I285" s="27"/>
      <c r="J285" s="27"/>
      <c r="K285" s="30" t="str">
        <f t="shared" si="4"/>
        <v/>
      </c>
      <c r="L285" s="31">
        <f>IF(B285&lt;&gt;"Расход",0,IF(H285&lt;&gt;"",E285*H285,IFERROR(IF(VLOOKUP(D285,Категории!$A$3:$F$27,4,FALSE)="",0,E285*VLOOKUP(D285,Категории!$A$3:$F$27,4,FALSE)),0)))</f>
        <v>0</v>
      </c>
      <c r="M285" s="30" t="str">
        <f>IF(A285="","",IF(NOT(ISNUMBER(A285)),"ДАТА; ","")&amp;IF(NOT(ISNUMBER(E285)),"СУММА; ","")&amp;IF(AND(B285&lt;&gt;"",D285&lt;&gt;"",IFERROR(VLOOKUP(D285,Категории!$A$3:$B$27,2,FALSE),"")&lt;&gt;B285),"ТИП/КАТЕГОРИЯ; ","")&amp;IF(AND(B285="Доход",G285=""),"НЕТ № КВИТАНЦИИ; ","")&amp;IF(AND(B285="Расход",H285="",IFERROR(VLOOKUP(D285,Категории!$A$3:$D$27,4,FALSE),"")=""),"УКАЖИТЕ ДОЛЮ; ","")&amp;IF(COUNTIFS($A$5:$A$504,A285,$B$5:$B$504,B285,$C$5:$C$504,C285,$E$5:$E$504,E285)&gt;1,"ВОЗМОЖНЫЙ ДУБЛЬ; ","")&amp;IF(AND(A285&lt;&gt;"",A286&lt;&gt;"",A285&lt;A286),"ПОРЯДОК ДАТ; ",""))</f>
        <v/>
      </c>
      <c r="N285" s="30" t="str">
        <f>IF(A285="","",IF(Настройки_2026!$B$6="ДЕМО",1,IF(I285="ДЕМО",0,1)))</f>
        <v/>
      </c>
    </row>
    <row r="286" spans="1:14" x14ac:dyDescent="0.25">
      <c r="A286" s="26"/>
      <c r="B286" s="27"/>
      <c r="C286" s="27"/>
      <c r="D286" s="27"/>
      <c r="E286" s="28"/>
      <c r="F286" s="27"/>
      <c r="G286" s="27"/>
      <c r="H286" s="29"/>
      <c r="I286" s="27"/>
      <c r="J286" s="27"/>
      <c r="K286" s="30" t="str">
        <f t="shared" si="4"/>
        <v/>
      </c>
      <c r="L286" s="31">
        <f>IF(B286&lt;&gt;"Расход",0,IF(H286&lt;&gt;"",E286*H286,IFERROR(IF(VLOOKUP(D286,Категории!$A$3:$F$27,4,FALSE)="",0,E286*VLOOKUP(D286,Категории!$A$3:$F$27,4,FALSE)),0)))</f>
        <v>0</v>
      </c>
      <c r="M286" s="30" t="str">
        <f>IF(A286="","",IF(NOT(ISNUMBER(A286)),"ДАТА; ","")&amp;IF(NOT(ISNUMBER(E286)),"СУММА; ","")&amp;IF(AND(B286&lt;&gt;"",D286&lt;&gt;"",IFERROR(VLOOKUP(D286,Категории!$A$3:$B$27,2,FALSE),"")&lt;&gt;B286),"ТИП/КАТЕГОРИЯ; ","")&amp;IF(AND(B286="Доход",G286=""),"НЕТ № КВИТАНЦИИ; ","")&amp;IF(AND(B286="Расход",H286="",IFERROR(VLOOKUP(D286,Категории!$A$3:$D$27,4,FALSE),"")=""),"УКАЖИТЕ ДОЛЮ; ","")&amp;IF(COUNTIFS($A$5:$A$504,A286,$B$5:$B$504,B286,$C$5:$C$504,C286,$E$5:$E$504,E286)&gt;1,"ВОЗМОЖНЫЙ ДУБЛЬ; ","")&amp;IF(AND(A286&lt;&gt;"",A287&lt;&gt;"",A286&lt;A287),"ПОРЯДОК ДАТ; ",""))</f>
        <v/>
      </c>
      <c r="N286" s="30" t="str">
        <f>IF(A286="","",IF(Настройки_2026!$B$6="ДЕМО",1,IF(I286="ДЕМО",0,1)))</f>
        <v/>
      </c>
    </row>
    <row r="287" spans="1:14" x14ac:dyDescent="0.25">
      <c r="A287" s="26"/>
      <c r="B287" s="27"/>
      <c r="C287" s="27"/>
      <c r="D287" s="27"/>
      <c r="E287" s="28"/>
      <c r="F287" s="27"/>
      <c r="G287" s="27"/>
      <c r="H287" s="29"/>
      <c r="I287" s="27"/>
      <c r="J287" s="27"/>
      <c r="K287" s="30" t="str">
        <f t="shared" si="4"/>
        <v/>
      </c>
      <c r="L287" s="31">
        <f>IF(B287&lt;&gt;"Расход",0,IF(H287&lt;&gt;"",E287*H287,IFERROR(IF(VLOOKUP(D287,Категории!$A$3:$F$27,4,FALSE)="",0,E287*VLOOKUP(D287,Категории!$A$3:$F$27,4,FALSE)),0)))</f>
        <v>0</v>
      </c>
      <c r="M287" s="30" t="str">
        <f>IF(A287="","",IF(NOT(ISNUMBER(A287)),"ДАТА; ","")&amp;IF(NOT(ISNUMBER(E287)),"СУММА; ","")&amp;IF(AND(B287&lt;&gt;"",D287&lt;&gt;"",IFERROR(VLOOKUP(D287,Категории!$A$3:$B$27,2,FALSE),"")&lt;&gt;B287),"ТИП/КАТЕГОРИЯ; ","")&amp;IF(AND(B287="Доход",G287=""),"НЕТ № КВИТАНЦИИ; ","")&amp;IF(AND(B287="Расход",H287="",IFERROR(VLOOKUP(D287,Категории!$A$3:$D$27,4,FALSE),"")=""),"УКАЖИТЕ ДОЛЮ; ","")&amp;IF(COUNTIFS($A$5:$A$504,A287,$B$5:$B$504,B287,$C$5:$C$504,C287,$E$5:$E$504,E287)&gt;1,"ВОЗМОЖНЫЙ ДУБЛЬ; ","")&amp;IF(AND(A287&lt;&gt;"",A288&lt;&gt;"",A287&lt;A288),"ПОРЯДОК ДАТ; ",""))</f>
        <v/>
      </c>
      <c r="N287" s="30" t="str">
        <f>IF(A287="","",IF(Настройки_2026!$B$6="ДЕМО",1,IF(I287="ДЕМО",0,1)))</f>
        <v/>
      </c>
    </row>
    <row r="288" spans="1:14" x14ac:dyDescent="0.25">
      <c r="A288" s="26"/>
      <c r="B288" s="27"/>
      <c r="C288" s="27"/>
      <c r="D288" s="27"/>
      <c r="E288" s="28"/>
      <c r="F288" s="27"/>
      <c r="G288" s="27"/>
      <c r="H288" s="29"/>
      <c r="I288" s="27"/>
      <c r="J288" s="27"/>
      <c r="K288" s="30" t="str">
        <f t="shared" si="4"/>
        <v/>
      </c>
      <c r="L288" s="31">
        <f>IF(B288&lt;&gt;"Расход",0,IF(H288&lt;&gt;"",E288*H288,IFERROR(IF(VLOOKUP(D288,Категории!$A$3:$F$27,4,FALSE)="",0,E288*VLOOKUP(D288,Категории!$A$3:$F$27,4,FALSE)),0)))</f>
        <v>0</v>
      </c>
      <c r="M288" s="30" t="str">
        <f>IF(A288="","",IF(NOT(ISNUMBER(A288)),"ДАТА; ","")&amp;IF(NOT(ISNUMBER(E288)),"СУММА; ","")&amp;IF(AND(B288&lt;&gt;"",D288&lt;&gt;"",IFERROR(VLOOKUP(D288,Категории!$A$3:$B$27,2,FALSE),"")&lt;&gt;B288),"ТИП/КАТЕГОРИЯ; ","")&amp;IF(AND(B288="Доход",G288=""),"НЕТ № КВИТАНЦИИ; ","")&amp;IF(AND(B288="Расход",H288="",IFERROR(VLOOKUP(D288,Категории!$A$3:$D$27,4,FALSE),"")=""),"УКАЖИТЕ ДОЛЮ; ","")&amp;IF(COUNTIFS($A$5:$A$504,A288,$B$5:$B$504,B288,$C$5:$C$504,C288,$E$5:$E$504,E288)&gt;1,"ВОЗМОЖНЫЙ ДУБЛЬ; ","")&amp;IF(AND(A288&lt;&gt;"",A289&lt;&gt;"",A288&lt;A289),"ПОРЯДОК ДАТ; ",""))</f>
        <v/>
      </c>
      <c r="N288" s="30" t="str">
        <f>IF(A288="","",IF(Настройки_2026!$B$6="ДЕМО",1,IF(I288="ДЕМО",0,1)))</f>
        <v/>
      </c>
    </row>
    <row r="289" spans="1:14" x14ac:dyDescent="0.25">
      <c r="A289" s="26"/>
      <c r="B289" s="27"/>
      <c r="C289" s="27"/>
      <c r="D289" s="27"/>
      <c r="E289" s="28"/>
      <c r="F289" s="27"/>
      <c r="G289" s="27"/>
      <c r="H289" s="29"/>
      <c r="I289" s="27"/>
      <c r="J289" s="27"/>
      <c r="K289" s="30" t="str">
        <f t="shared" si="4"/>
        <v/>
      </c>
      <c r="L289" s="31">
        <f>IF(B289&lt;&gt;"Расход",0,IF(H289&lt;&gt;"",E289*H289,IFERROR(IF(VLOOKUP(D289,Категории!$A$3:$F$27,4,FALSE)="",0,E289*VLOOKUP(D289,Категории!$A$3:$F$27,4,FALSE)),0)))</f>
        <v>0</v>
      </c>
      <c r="M289" s="30" t="str">
        <f>IF(A289="","",IF(NOT(ISNUMBER(A289)),"ДАТА; ","")&amp;IF(NOT(ISNUMBER(E289)),"СУММА; ","")&amp;IF(AND(B289&lt;&gt;"",D289&lt;&gt;"",IFERROR(VLOOKUP(D289,Категории!$A$3:$B$27,2,FALSE),"")&lt;&gt;B289),"ТИП/КАТЕГОРИЯ; ","")&amp;IF(AND(B289="Доход",G289=""),"НЕТ № КВИТАНЦИИ; ","")&amp;IF(AND(B289="Расход",H289="",IFERROR(VLOOKUP(D289,Категории!$A$3:$D$27,4,FALSE),"")=""),"УКАЖИТЕ ДОЛЮ; ","")&amp;IF(COUNTIFS($A$5:$A$504,A289,$B$5:$B$504,B289,$C$5:$C$504,C289,$E$5:$E$504,E289)&gt;1,"ВОЗМОЖНЫЙ ДУБЛЬ; ","")&amp;IF(AND(A289&lt;&gt;"",A290&lt;&gt;"",A289&lt;A290),"ПОРЯДОК ДАТ; ",""))</f>
        <v/>
      </c>
      <c r="N289" s="30" t="str">
        <f>IF(A289="","",IF(Настройки_2026!$B$6="ДЕМО",1,IF(I289="ДЕМО",0,1)))</f>
        <v/>
      </c>
    </row>
    <row r="290" spans="1:14" x14ac:dyDescent="0.25">
      <c r="A290" s="26"/>
      <c r="B290" s="27"/>
      <c r="C290" s="27"/>
      <c r="D290" s="27"/>
      <c r="E290" s="28"/>
      <c r="F290" s="27"/>
      <c r="G290" s="27"/>
      <c r="H290" s="29"/>
      <c r="I290" s="27"/>
      <c r="J290" s="27"/>
      <c r="K290" s="30" t="str">
        <f t="shared" si="4"/>
        <v/>
      </c>
      <c r="L290" s="31">
        <f>IF(B290&lt;&gt;"Расход",0,IF(H290&lt;&gt;"",E290*H290,IFERROR(IF(VLOOKUP(D290,Категории!$A$3:$F$27,4,FALSE)="",0,E290*VLOOKUP(D290,Категории!$A$3:$F$27,4,FALSE)),0)))</f>
        <v>0</v>
      </c>
      <c r="M290" s="30" t="str">
        <f>IF(A290="","",IF(NOT(ISNUMBER(A290)),"ДАТА; ","")&amp;IF(NOT(ISNUMBER(E290)),"СУММА; ","")&amp;IF(AND(B290&lt;&gt;"",D290&lt;&gt;"",IFERROR(VLOOKUP(D290,Категории!$A$3:$B$27,2,FALSE),"")&lt;&gt;B290),"ТИП/КАТЕГОРИЯ; ","")&amp;IF(AND(B290="Доход",G290=""),"НЕТ № КВИТАНЦИИ; ","")&amp;IF(AND(B290="Расход",H290="",IFERROR(VLOOKUP(D290,Категории!$A$3:$D$27,4,FALSE),"")=""),"УКАЖИТЕ ДОЛЮ; ","")&amp;IF(COUNTIFS($A$5:$A$504,A290,$B$5:$B$504,B290,$C$5:$C$504,C290,$E$5:$E$504,E290)&gt;1,"ВОЗМОЖНЫЙ ДУБЛЬ; ","")&amp;IF(AND(A290&lt;&gt;"",A291&lt;&gt;"",A290&lt;A291),"ПОРЯДОК ДАТ; ",""))</f>
        <v/>
      </c>
      <c r="N290" s="30" t="str">
        <f>IF(A290="","",IF(Настройки_2026!$B$6="ДЕМО",1,IF(I290="ДЕМО",0,1)))</f>
        <v/>
      </c>
    </row>
    <row r="291" spans="1:14" x14ac:dyDescent="0.25">
      <c r="A291" s="26"/>
      <c r="B291" s="27"/>
      <c r="C291" s="27"/>
      <c r="D291" s="27"/>
      <c r="E291" s="28"/>
      <c r="F291" s="27"/>
      <c r="G291" s="27"/>
      <c r="H291" s="29"/>
      <c r="I291" s="27"/>
      <c r="J291" s="27"/>
      <c r="K291" s="30" t="str">
        <f t="shared" si="4"/>
        <v/>
      </c>
      <c r="L291" s="31">
        <f>IF(B291&lt;&gt;"Расход",0,IF(H291&lt;&gt;"",E291*H291,IFERROR(IF(VLOOKUP(D291,Категории!$A$3:$F$27,4,FALSE)="",0,E291*VLOOKUP(D291,Категории!$A$3:$F$27,4,FALSE)),0)))</f>
        <v>0</v>
      </c>
      <c r="M291" s="30" t="str">
        <f>IF(A291="","",IF(NOT(ISNUMBER(A291)),"ДАТА; ","")&amp;IF(NOT(ISNUMBER(E291)),"СУММА; ","")&amp;IF(AND(B291&lt;&gt;"",D291&lt;&gt;"",IFERROR(VLOOKUP(D291,Категории!$A$3:$B$27,2,FALSE),"")&lt;&gt;B291),"ТИП/КАТЕГОРИЯ; ","")&amp;IF(AND(B291="Доход",G291=""),"НЕТ № КВИТАНЦИИ; ","")&amp;IF(AND(B291="Расход",H291="",IFERROR(VLOOKUP(D291,Категории!$A$3:$D$27,4,FALSE),"")=""),"УКАЖИТЕ ДОЛЮ; ","")&amp;IF(COUNTIFS($A$5:$A$504,A291,$B$5:$B$504,B291,$C$5:$C$504,C291,$E$5:$E$504,E291)&gt;1,"ВОЗМОЖНЫЙ ДУБЛЬ; ","")&amp;IF(AND(A291&lt;&gt;"",A292&lt;&gt;"",A291&lt;A292),"ПОРЯДОК ДАТ; ",""))</f>
        <v/>
      </c>
      <c r="N291" s="30" t="str">
        <f>IF(A291="","",IF(Настройки_2026!$B$6="ДЕМО",1,IF(I291="ДЕМО",0,1)))</f>
        <v/>
      </c>
    </row>
    <row r="292" spans="1:14" x14ac:dyDescent="0.25">
      <c r="A292" s="26"/>
      <c r="B292" s="27"/>
      <c r="C292" s="27"/>
      <c r="D292" s="27"/>
      <c r="E292" s="28"/>
      <c r="F292" s="27"/>
      <c r="G292" s="27"/>
      <c r="H292" s="29"/>
      <c r="I292" s="27"/>
      <c r="J292" s="27"/>
      <c r="K292" s="30" t="str">
        <f t="shared" si="4"/>
        <v/>
      </c>
      <c r="L292" s="31">
        <f>IF(B292&lt;&gt;"Расход",0,IF(H292&lt;&gt;"",E292*H292,IFERROR(IF(VLOOKUP(D292,Категории!$A$3:$F$27,4,FALSE)="",0,E292*VLOOKUP(D292,Категории!$A$3:$F$27,4,FALSE)),0)))</f>
        <v>0</v>
      </c>
      <c r="M292" s="30" t="str">
        <f>IF(A292="","",IF(NOT(ISNUMBER(A292)),"ДАТА; ","")&amp;IF(NOT(ISNUMBER(E292)),"СУММА; ","")&amp;IF(AND(B292&lt;&gt;"",D292&lt;&gt;"",IFERROR(VLOOKUP(D292,Категории!$A$3:$B$27,2,FALSE),"")&lt;&gt;B292),"ТИП/КАТЕГОРИЯ; ","")&amp;IF(AND(B292="Доход",G292=""),"НЕТ № КВИТАНЦИИ; ","")&amp;IF(AND(B292="Расход",H292="",IFERROR(VLOOKUP(D292,Категории!$A$3:$D$27,4,FALSE),"")=""),"УКАЖИТЕ ДОЛЮ; ","")&amp;IF(COUNTIFS($A$5:$A$504,A292,$B$5:$B$504,B292,$C$5:$C$504,C292,$E$5:$E$504,E292)&gt;1,"ВОЗМОЖНЫЙ ДУБЛЬ; ","")&amp;IF(AND(A292&lt;&gt;"",A293&lt;&gt;"",A292&lt;A293),"ПОРЯДОК ДАТ; ",""))</f>
        <v/>
      </c>
      <c r="N292" s="30" t="str">
        <f>IF(A292="","",IF(Настройки_2026!$B$6="ДЕМО",1,IF(I292="ДЕМО",0,1)))</f>
        <v/>
      </c>
    </row>
    <row r="293" spans="1:14" x14ac:dyDescent="0.25">
      <c r="A293" s="26"/>
      <c r="B293" s="27"/>
      <c r="C293" s="27"/>
      <c r="D293" s="27"/>
      <c r="E293" s="28"/>
      <c r="F293" s="27"/>
      <c r="G293" s="27"/>
      <c r="H293" s="29"/>
      <c r="I293" s="27"/>
      <c r="J293" s="27"/>
      <c r="K293" s="30" t="str">
        <f t="shared" si="4"/>
        <v/>
      </c>
      <c r="L293" s="31">
        <f>IF(B293&lt;&gt;"Расход",0,IF(H293&lt;&gt;"",E293*H293,IFERROR(IF(VLOOKUP(D293,Категории!$A$3:$F$27,4,FALSE)="",0,E293*VLOOKUP(D293,Категории!$A$3:$F$27,4,FALSE)),0)))</f>
        <v>0</v>
      </c>
      <c r="M293" s="30" t="str">
        <f>IF(A293="","",IF(NOT(ISNUMBER(A293)),"ДАТА; ","")&amp;IF(NOT(ISNUMBER(E293)),"СУММА; ","")&amp;IF(AND(B293&lt;&gt;"",D293&lt;&gt;"",IFERROR(VLOOKUP(D293,Категории!$A$3:$B$27,2,FALSE),"")&lt;&gt;B293),"ТИП/КАТЕГОРИЯ; ","")&amp;IF(AND(B293="Доход",G293=""),"НЕТ № КВИТАНЦИИ; ","")&amp;IF(AND(B293="Расход",H293="",IFERROR(VLOOKUP(D293,Категории!$A$3:$D$27,4,FALSE),"")=""),"УКАЖИТЕ ДОЛЮ; ","")&amp;IF(COUNTIFS($A$5:$A$504,A293,$B$5:$B$504,B293,$C$5:$C$504,C293,$E$5:$E$504,E293)&gt;1,"ВОЗМОЖНЫЙ ДУБЛЬ; ","")&amp;IF(AND(A293&lt;&gt;"",A294&lt;&gt;"",A293&lt;A294),"ПОРЯДОК ДАТ; ",""))</f>
        <v/>
      </c>
      <c r="N293" s="30" t="str">
        <f>IF(A293="","",IF(Настройки_2026!$B$6="ДЕМО",1,IF(I293="ДЕМО",0,1)))</f>
        <v/>
      </c>
    </row>
    <row r="294" spans="1:14" x14ac:dyDescent="0.25">
      <c r="A294" s="26"/>
      <c r="B294" s="27"/>
      <c r="C294" s="27"/>
      <c r="D294" s="27"/>
      <c r="E294" s="28"/>
      <c r="F294" s="27"/>
      <c r="G294" s="27"/>
      <c r="H294" s="29"/>
      <c r="I294" s="27"/>
      <c r="J294" s="27"/>
      <c r="K294" s="30" t="str">
        <f t="shared" si="4"/>
        <v/>
      </c>
      <c r="L294" s="31">
        <f>IF(B294&lt;&gt;"Расход",0,IF(H294&lt;&gt;"",E294*H294,IFERROR(IF(VLOOKUP(D294,Категории!$A$3:$F$27,4,FALSE)="",0,E294*VLOOKUP(D294,Категории!$A$3:$F$27,4,FALSE)),0)))</f>
        <v>0</v>
      </c>
      <c r="M294" s="30" t="str">
        <f>IF(A294="","",IF(NOT(ISNUMBER(A294)),"ДАТА; ","")&amp;IF(NOT(ISNUMBER(E294)),"СУММА; ","")&amp;IF(AND(B294&lt;&gt;"",D294&lt;&gt;"",IFERROR(VLOOKUP(D294,Категории!$A$3:$B$27,2,FALSE),"")&lt;&gt;B294),"ТИП/КАТЕГОРИЯ; ","")&amp;IF(AND(B294="Доход",G294=""),"НЕТ № КВИТАНЦИИ; ","")&amp;IF(AND(B294="Расход",H294="",IFERROR(VLOOKUP(D294,Категории!$A$3:$D$27,4,FALSE),"")=""),"УКАЖИТЕ ДОЛЮ; ","")&amp;IF(COUNTIFS($A$5:$A$504,A294,$B$5:$B$504,B294,$C$5:$C$504,C294,$E$5:$E$504,E294)&gt;1,"ВОЗМОЖНЫЙ ДУБЛЬ; ","")&amp;IF(AND(A294&lt;&gt;"",A295&lt;&gt;"",A294&lt;A295),"ПОРЯДОК ДАТ; ",""))</f>
        <v/>
      </c>
      <c r="N294" s="30" t="str">
        <f>IF(A294="","",IF(Настройки_2026!$B$6="ДЕМО",1,IF(I294="ДЕМО",0,1)))</f>
        <v/>
      </c>
    </row>
    <row r="295" spans="1:14" x14ac:dyDescent="0.25">
      <c r="A295" s="26"/>
      <c r="B295" s="27"/>
      <c r="C295" s="27"/>
      <c r="D295" s="27"/>
      <c r="E295" s="28"/>
      <c r="F295" s="27"/>
      <c r="G295" s="27"/>
      <c r="H295" s="29"/>
      <c r="I295" s="27"/>
      <c r="J295" s="27"/>
      <c r="K295" s="30" t="str">
        <f t="shared" si="4"/>
        <v/>
      </c>
      <c r="L295" s="31">
        <f>IF(B295&lt;&gt;"Расход",0,IF(H295&lt;&gt;"",E295*H295,IFERROR(IF(VLOOKUP(D295,Категории!$A$3:$F$27,4,FALSE)="",0,E295*VLOOKUP(D295,Категории!$A$3:$F$27,4,FALSE)),0)))</f>
        <v>0</v>
      </c>
      <c r="M295" s="30" t="str">
        <f>IF(A295="","",IF(NOT(ISNUMBER(A295)),"ДАТА; ","")&amp;IF(NOT(ISNUMBER(E295)),"СУММА; ","")&amp;IF(AND(B295&lt;&gt;"",D295&lt;&gt;"",IFERROR(VLOOKUP(D295,Категории!$A$3:$B$27,2,FALSE),"")&lt;&gt;B295),"ТИП/КАТЕГОРИЯ; ","")&amp;IF(AND(B295="Доход",G295=""),"НЕТ № КВИТАНЦИИ; ","")&amp;IF(AND(B295="Расход",H295="",IFERROR(VLOOKUP(D295,Категории!$A$3:$D$27,4,FALSE),"")=""),"УКАЖИТЕ ДОЛЮ; ","")&amp;IF(COUNTIFS($A$5:$A$504,A295,$B$5:$B$504,B295,$C$5:$C$504,C295,$E$5:$E$504,E295)&gt;1,"ВОЗМОЖНЫЙ ДУБЛЬ; ","")&amp;IF(AND(A295&lt;&gt;"",A296&lt;&gt;"",A295&lt;A296),"ПОРЯДОК ДАТ; ",""))</f>
        <v/>
      </c>
      <c r="N295" s="30" t="str">
        <f>IF(A295="","",IF(Настройки_2026!$B$6="ДЕМО",1,IF(I295="ДЕМО",0,1)))</f>
        <v/>
      </c>
    </row>
    <row r="296" spans="1:14" x14ac:dyDescent="0.25">
      <c r="A296" s="26"/>
      <c r="B296" s="27"/>
      <c r="C296" s="27"/>
      <c r="D296" s="27"/>
      <c r="E296" s="28"/>
      <c r="F296" s="27"/>
      <c r="G296" s="27"/>
      <c r="H296" s="29"/>
      <c r="I296" s="27"/>
      <c r="J296" s="27"/>
      <c r="K296" s="30" t="str">
        <f t="shared" si="4"/>
        <v/>
      </c>
      <c r="L296" s="31">
        <f>IF(B296&lt;&gt;"Расход",0,IF(H296&lt;&gt;"",E296*H296,IFERROR(IF(VLOOKUP(D296,Категории!$A$3:$F$27,4,FALSE)="",0,E296*VLOOKUP(D296,Категории!$A$3:$F$27,4,FALSE)),0)))</f>
        <v>0</v>
      </c>
      <c r="M296" s="30" t="str">
        <f>IF(A296="","",IF(NOT(ISNUMBER(A296)),"ДАТА; ","")&amp;IF(NOT(ISNUMBER(E296)),"СУММА; ","")&amp;IF(AND(B296&lt;&gt;"",D296&lt;&gt;"",IFERROR(VLOOKUP(D296,Категории!$A$3:$B$27,2,FALSE),"")&lt;&gt;B296),"ТИП/КАТЕГОРИЯ; ","")&amp;IF(AND(B296="Доход",G296=""),"НЕТ № КВИТАНЦИИ; ","")&amp;IF(AND(B296="Расход",H296="",IFERROR(VLOOKUP(D296,Категории!$A$3:$D$27,4,FALSE),"")=""),"УКАЖИТЕ ДОЛЮ; ","")&amp;IF(COUNTIFS($A$5:$A$504,A296,$B$5:$B$504,B296,$C$5:$C$504,C296,$E$5:$E$504,E296)&gt;1,"ВОЗМОЖНЫЙ ДУБЛЬ; ","")&amp;IF(AND(A296&lt;&gt;"",A297&lt;&gt;"",A296&lt;A297),"ПОРЯДОК ДАТ; ",""))</f>
        <v/>
      </c>
      <c r="N296" s="30" t="str">
        <f>IF(A296="","",IF(Настройки_2026!$B$6="ДЕМО",1,IF(I296="ДЕМО",0,1)))</f>
        <v/>
      </c>
    </row>
    <row r="297" spans="1:14" x14ac:dyDescent="0.25">
      <c r="A297" s="26"/>
      <c r="B297" s="27"/>
      <c r="C297" s="27"/>
      <c r="D297" s="27"/>
      <c r="E297" s="28"/>
      <c r="F297" s="27"/>
      <c r="G297" s="27"/>
      <c r="H297" s="29"/>
      <c r="I297" s="27"/>
      <c r="J297" s="27"/>
      <c r="K297" s="30" t="str">
        <f t="shared" si="4"/>
        <v/>
      </c>
      <c r="L297" s="31">
        <f>IF(B297&lt;&gt;"Расход",0,IF(H297&lt;&gt;"",E297*H297,IFERROR(IF(VLOOKUP(D297,Категории!$A$3:$F$27,4,FALSE)="",0,E297*VLOOKUP(D297,Категории!$A$3:$F$27,4,FALSE)),0)))</f>
        <v>0</v>
      </c>
      <c r="M297" s="30" t="str">
        <f>IF(A297="","",IF(NOT(ISNUMBER(A297)),"ДАТА; ","")&amp;IF(NOT(ISNUMBER(E297)),"СУММА; ","")&amp;IF(AND(B297&lt;&gt;"",D297&lt;&gt;"",IFERROR(VLOOKUP(D297,Категории!$A$3:$B$27,2,FALSE),"")&lt;&gt;B297),"ТИП/КАТЕГОРИЯ; ","")&amp;IF(AND(B297="Доход",G297=""),"НЕТ № КВИТАНЦИИ; ","")&amp;IF(AND(B297="Расход",H297="",IFERROR(VLOOKUP(D297,Категории!$A$3:$D$27,4,FALSE),"")=""),"УКАЖИТЕ ДОЛЮ; ","")&amp;IF(COUNTIFS($A$5:$A$504,A297,$B$5:$B$504,B297,$C$5:$C$504,C297,$E$5:$E$504,E297)&gt;1,"ВОЗМОЖНЫЙ ДУБЛЬ; ","")&amp;IF(AND(A297&lt;&gt;"",A298&lt;&gt;"",A297&lt;A298),"ПОРЯДОК ДАТ; ",""))</f>
        <v/>
      </c>
      <c r="N297" s="30" t="str">
        <f>IF(A297="","",IF(Настройки_2026!$B$6="ДЕМО",1,IF(I297="ДЕМО",0,1)))</f>
        <v/>
      </c>
    </row>
    <row r="298" spans="1:14" x14ac:dyDescent="0.25">
      <c r="A298" s="26"/>
      <c r="B298" s="27"/>
      <c r="C298" s="27"/>
      <c r="D298" s="27"/>
      <c r="E298" s="28"/>
      <c r="F298" s="27"/>
      <c r="G298" s="27"/>
      <c r="H298" s="29"/>
      <c r="I298" s="27"/>
      <c r="J298" s="27"/>
      <c r="K298" s="30" t="str">
        <f t="shared" si="4"/>
        <v/>
      </c>
      <c r="L298" s="31">
        <f>IF(B298&lt;&gt;"Расход",0,IF(H298&lt;&gt;"",E298*H298,IFERROR(IF(VLOOKUP(D298,Категории!$A$3:$F$27,4,FALSE)="",0,E298*VLOOKUP(D298,Категории!$A$3:$F$27,4,FALSE)),0)))</f>
        <v>0</v>
      </c>
      <c r="M298" s="30" t="str">
        <f>IF(A298="","",IF(NOT(ISNUMBER(A298)),"ДАТА; ","")&amp;IF(NOT(ISNUMBER(E298)),"СУММА; ","")&amp;IF(AND(B298&lt;&gt;"",D298&lt;&gt;"",IFERROR(VLOOKUP(D298,Категории!$A$3:$B$27,2,FALSE),"")&lt;&gt;B298),"ТИП/КАТЕГОРИЯ; ","")&amp;IF(AND(B298="Доход",G298=""),"НЕТ № КВИТАНЦИИ; ","")&amp;IF(AND(B298="Расход",H298="",IFERROR(VLOOKUP(D298,Категории!$A$3:$D$27,4,FALSE),"")=""),"УКАЖИТЕ ДОЛЮ; ","")&amp;IF(COUNTIFS($A$5:$A$504,A298,$B$5:$B$504,B298,$C$5:$C$504,C298,$E$5:$E$504,E298)&gt;1,"ВОЗМОЖНЫЙ ДУБЛЬ; ","")&amp;IF(AND(A298&lt;&gt;"",A299&lt;&gt;"",A298&lt;A299),"ПОРЯДОК ДАТ; ",""))</f>
        <v/>
      </c>
      <c r="N298" s="30" t="str">
        <f>IF(A298="","",IF(Настройки_2026!$B$6="ДЕМО",1,IF(I298="ДЕМО",0,1)))</f>
        <v/>
      </c>
    </row>
    <row r="299" spans="1:14" x14ac:dyDescent="0.25">
      <c r="A299" s="26"/>
      <c r="B299" s="27"/>
      <c r="C299" s="27"/>
      <c r="D299" s="27"/>
      <c r="E299" s="28"/>
      <c r="F299" s="27"/>
      <c r="G299" s="27"/>
      <c r="H299" s="29"/>
      <c r="I299" s="27"/>
      <c r="J299" s="27"/>
      <c r="K299" s="30" t="str">
        <f t="shared" si="4"/>
        <v/>
      </c>
      <c r="L299" s="31">
        <f>IF(B299&lt;&gt;"Расход",0,IF(H299&lt;&gt;"",E299*H299,IFERROR(IF(VLOOKUP(D299,Категории!$A$3:$F$27,4,FALSE)="",0,E299*VLOOKUP(D299,Категории!$A$3:$F$27,4,FALSE)),0)))</f>
        <v>0</v>
      </c>
      <c r="M299" s="30" t="str">
        <f>IF(A299="","",IF(NOT(ISNUMBER(A299)),"ДАТА; ","")&amp;IF(NOT(ISNUMBER(E299)),"СУММА; ","")&amp;IF(AND(B299&lt;&gt;"",D299&lt;&gt;"",IFERROR(VLOOKUP(D299,Категории!$A$3:$B$27,2,FALSE),"")&lt;&gt;B299),"ТИП/КАТЕГОРИЯ; ","")&amp;IF(AND(B299="Доход",G299=""),"НЕТ № КВИТАНЦИИ; ","")&amp;IF(AND(B299="Расход",H299="",IFERROR(VLOOKUP(D299,Категории!$A$3:$D$27,4,FALSE),"")=""),"УКАЖИТЕ ДОЛЮ; ","")&amp;IF(COUNTIFS($A$5:$A$504,A299,$B$5:$B$504,B299,$C$5:$C$504,C299,$E$5:$E$504,E299)&gt;1,"ВОЗМОЖНЫЙ ДУБЛЬ; ","")&amp;IF(AND(A299&lt;&gt;"",A300&lt;&gt;"",A299&lt;A300),"ПОРЯДОК ДАТ; ",""))</f>
        <v/>
      </c>
      <c r="N299" s="30" t="str">
        <f>IF(A299="","",IF(Настройки_2026!$B$6="ДЕМО",1,IF(I299="ДЕМО",0,1)))</f>
        <v/>
      </c>
    </row>
    <row r="300" spans="1:14" x14ac:dyDescent="0.25">
      <c r="A300" s="26"/>
      <c r="B300" s="27"/>
      <c r="C300" s="27"/>
      <c r="D300" s="27"/>
      <c r="E300" s="28"/>
      <c r="F300" s="27"/>
      <c r="G300" s="27"/>
      <c r="H300" s="29"/>
      <c r="I300" s="27"/>
      <c r="J300" s="27"/>
      <c r="K300" s="30" t="str">
        <f t="shared" si="4"/>
        <v/>
      </c>
      <c r="L300" s="31">
        <f>IF(B300&lt;&gt;"Расход",0,IF(H300&lt;&gt;"",E300*H300,IFERROR(IF(VLOOKUP(D300,Категории!$A$3:$F$27,4,FALSE)="",0,E300*VLOOKUP(D300,Категории!$A$3:$F$27,4,FALSE)),0)))</f>
        <v>0</v>
      </c>
      <c r="M300" s="30" t="str">
        <f>IF(A300="","",IF(NOT(ISNUMBER(A300)),"ДАТА; ","")&amp;IF(NOT(ISNUMBER(E300)),"СУММА; ","")&amp;IF(AND(B300&lt;&gt;"",D300&lt;&gt;"",IFERROR(VLOOKUP(D300,Категории!$A$3:$B$27,2,FALSE),"")&lt;&gt;B300),"ТИП/КАТЕГОРИЯ; ","")&amp;IF(AND(B300="Доход",G300=""),"НЕТ № КВИТАНЦИИ; ","")&amp;IF(AND(B300="Расход",H300="",IFERROR(VLOOKUP(D300,Категории!$A$3:$D$27,4,FALSE),"")=""),"УКАЖИТЕ ДОЛЮ; ","")&amp;IF(COUNTIFS($A$5:$A$504,A300,$B$5:$B$504,B300,$C$5:$C$504,C300,$E$5:$E$504,E300)&gt;1,"ВОЗМОЖНЫЙ ДУБЛЬ; ","")&amp;IF(AND(A300&lt;&gt;"",A301&lt;&gt;"",A300&lt;A301),"ПОРЯДОК ДАТ; ",""))</f>
        <v/>
      </c>
      <c r="N300" s="30" t="str">
        <f>IF(A300="","",IF(Настройки_2026!$B$6="ДЕМО",1,IF(I300="ДЕМО",0,1)))</f>
        <v/>
      </c>
    </row>
    <row r="301" spans="1:14" x14ac:dyDescent="0.25">
      <c r="A301" s="26"/>
      <c r="B301" s="27"/>
      <c r="C301" s="27"/>
      <c r="D301" s="27"/>
      <c r="E301" s="28"/>
      <c r="F301" s="27"/>
      <c r="G301" s="27"/>
      <c r="H301" s="29"/>
      <c r="I301" s="27"/>
      <c r="J301" s="27"/>
      <c r="K301" s="30" t="str">
        <f t="shared" si="4"/>
        <v/>
      </c>
      <c r="L301" s="31">
        <f>IF(B301&lt;&gt;"Расход",0,IF(H301&lt;&gt;"",E301*H301,IFERROR(IF(VLOOKUP(D301,Категории!$A$3:$F$27,4,FALSE)="",0,E301*VLOOKUP(D301,Категории!$A$3:$F$27,4,FALSE)),0)))</f>
        <v>0</v>
      </c>
      <c r="M301" s="30" t="str">
        <f>IF(A301="","",IF(NOT(ISNUMBER(A301)),"ДАТА; ","")&amp;IF(NOT(ISNUMBER(E301)),"СУММА; ","")&amp;IF(AND(B301&lt;&gt;"",D301&lt;&gt;"",IFERROR(VLOOKUP(D301,Категории!$A$3:$B$27,2,FALSE),"")&lt;&gt;B301),"ТИП/КАТЕГОРИЯ; ","")&amp;IF(AND(B301="Доход",G301=""),"НЕТ № КВИТАНЦИИ; ","")&amp;IF(AND(B301="Расход",H301="",IFERROR(VLOOKUP(D301,Категории!$A$3:$D$27,4,FALSE),"")=""),"УКАЖИТЕ ДОЛЮ; ","")&amp;IF(COUNTIFS($A$5:$A$504,A301,$B$5:$B$504,B301,$C$5:$C$504,C301,$E$5:$E$504,E301)&gt;1,"ВОЗМОЖНЫЙ ДУБЛЬ; ","")&amp;IF(AND(A301&lt;&gt;"",A302&lt;&gt;"",A301&lt;A302),"ПОРЯДОК ДАТ; ",""))</f>
        <v/>
      </c>
      <c r="N301" s="30" t="str">
        <f>IF(A301="","",IF(Настройки_2026!$B$6="ДЕМО",1,IF(I301="ДЕМО",0,1)))</f>
        <v/>
      </c>
    </row>
    <row r="302" spans="1:14" x14ac:dyDescent="0.25">
      <c r="A302" s="26"/>
      <c r="B302" s="27"/>
      <c r="C302" s="27"/>
      <c r="D302" s="27"/>
      <c r="E302" s="28"/>
      <c r="F302" s="27"/>
      <c r="G302" s="27"/>
      <c r="H302" s="29"/>
      <c r="I302" s="27"/>
      <c r="J302" s="27"/>
      <c r="K302" s="30" t="str">
        <f t="shared" si="4"/>
        <v/>
      </c>
      <c r="L302" s="31">
        <f>IF(B302&lt;&gt;"Расход",0,IF(H302&lt;&gt;"",E302*H302,IFERROR(IF(VLOOKUP(D302,Категории!$A$3:$F$27,4,FALSE)="",0,E302*VLOOKUP(D302,Категории!$A$3:$F$27,4,FALSE)),0)))</f>
        <v>0</v>
      </c>
      <c r="M302" s="30" t="str">
        <f>IF(A302="","",IF(NOT(ISNUMBER(A302)),"ДАТА; ","")&amp;IF(NOT(ISNUMBER(E302)),"СУММА; ","")&amp;IF(AND(B302&lt;&gt;"",D302&lt;&gt;"",IFERROR(VLOOKUP(D302,Категории!$A$3:$B$27,2,FALSE),"")&lt;&gt;B302),"ТИП/КАТЕГОРИЯ; ","")&amp;IF(AND(B302="Доход",G302=""),"НЕТ № КВИТАНЦИИ; ","")&amp;IF(AND(B302="Расход",H302="",IFERROR(VLOOKUP(D302,Категории!$A$3:$D$27,4,FALSE),"")=""),"УКАЖИТЕ ДОЛЮ; ","")&amp;IF(COUNTIFS($A$5:$A$504,A302,$B$5:$B$504,B302,$C$5:$C$504,C302,$E$5:$E$504,E302)&gt;1,"ВОЗМОЖНЫЙ ДУБЛЬ; ","")&amp;IF(AND(A302&lt;&gt;"",A303&lt;&gt;"",A302&lt;A303),"ПОРЯДОК ДАТ; ",""))</f>
        <v/>
      </c>
      <c r="N302" s="30" t="str">
        <f>IF(A302="","",IF(Настройки_2026!$B$6="ДЕМО",1,IF(I302="ДЕМО",0,1)))</f>
        <v/>
      </c>
    </row>
    <row r="303" spans="1:14" x14ac:dyDescent="0.25">
      <c r="A303" s="26"/>
      <c r="B303" s="27"/>
      <c r="C303" s="27"/>
      <c r="D303" s="27"/>
      <c r="E303" s="28"/>
      <c r="F303" s="27"/>
      <c r="G303" s="27"/>
      <c r="H303" s="29"/>
      <c r="I303" s="27"/>
      <c r="J303" s="27"/>
      <c r="K303" s="30" t="str">
        <f t="shared" si="4"/>
        <v/>
      </c>
      <c r="L303" s="31">
        <f>IF(B303&lt;&gt;"Расход",0,IF(H303&lt;&gt;"",E303*H303,IFERROR(IF(VLOOKUP(D303,Категории!$A$3:$F$27,4,FALSE)="",0,E303*VLOOKUP(D303,Категории!$A$3:$F$27,4,FALSE)),0)))</f>
        <v>0</v>
      </c>
      <c r="M303" s="30" t="str">
        <f>IF(A303="","",IF(NOT(ISNUMBER(A303)),"ДАТА; ","")&amp;IF(NOT(ISNUMBER(E303)),"СУММА; ","")&amp;IF(AND(B303&lt;&gt;"",D303&lt;&gt;"",IFERROR(VLOOKUP(D303,Категории!$A$3:$B$27,2,FALSE),"")&lt;&gt;B303),"ТИП/КАТЕГОРИЯ; ","")&amp;IF(AND(B303="Доход",G303=""),"НЕТ № КВИТАНЦИИ; ","")&amp;IF(AND(B303="Расход",H303="",IFERROR(VLOOKUP(D303,Категории!$A$3:$D$27,4,FALSE),"")=""),"УКАЖИТЕ ДОЛЮ; ","")&amp;IF(COUNTIFS($A$5:$A$504,A303,$B$5:$B$504,B303,$C$5:$C$504,C303,$E$5:$E$504,E303)&gt;1,"ВОЗМОЖНЫЙ ДУБЛЬ; ","")&amp;IF(AND(A303&lt;&gt;"",A304&lt;&gt;"",A303&lt;A304),"ПОРЯДОК ДАТ; ",""))</f>
        <v/>
      </c>
      <c r="N303" s="30" t="str">
        <f>IF(A303="","",IF(Настройки_2026!$B$6="ДЕМО",1,IF(I303="ДЕМО",0,1)))</f>
        <v/>
      </c>
    </row>
    <row r="304" spans="1:14" x14ac:dyDescent="0.25">
      <c r="A304" s="26"/>
      <c r="B304" s="27"/>
      <c r="C304" s="27"/>
      <c r="D304" s="27"/>
      <c r="E304" s="28"/>
      <c r="F304" s="27"/>
      <c r="G304" s="27"/>
      <c r="H304" s="29"/>
      <c r="I304" s="27"/>
      <c r="J304" s="27"/>
      <c r="K304" s="30" t="str">
        <f t="shared" si="4"/>
        <v/>
      </c>
      <c r="L304" s="31">
        <f>IF(B304&lt;&gt;"Расход",0,IF(H304&lt;&gt;"",E304*H304,IFERROR(IF(VLOOKUP(D304,Категории!$A$3:$F$27,4,FALSE)="",0,E304*VLOOKUP(D304,Категории!$A$3:$F$27,4,FALSE)),0)))</f>
        <v>0</v>
      </c>
      <c r="M304" s="30" t="str">
        <f>IF(A304="","",IF(NOT(ISNUMBER(A304)),"ДАТА; ","")&amp;IF(NOT(ISNUMBER(E304)),"СУММА; ","")&amp;IF(AND(B304&lt;&gt;"",D304&lt;&gt;"",IFERROR(VLOOKUP(D304,Категории!$A$3:$B$27,2,FALSE),"")&lt;&gt;B304),"ТИП/КАТЕГОРИЯ; ","")&amp;IF(AND(B304="Доход",G304=""),"НЕТ № КВИТАНЦИИ; ","")&amp;IF(AND(B304="Расход",H304="",IFERROR(VLOOKUP(D304,Категории!$A$3:$D$27,4,FALSE),"")=""),"УКАЖИТЕ ДОЛЮ; ","")&amp;IF(COUNTIFS($A$5:$A$504,A304,$B$5:$B$504,B304,$C$5:$C$504,C304,$E$5:$E$504,E304)&gt;1,"ВОЗМОЖНЫЙ ДУБЛЬ; ","")&amp;IF(AND(A304&lt;&gt;"",A305&lt;&gt;"",A304&lt;A305),"ПОРЯДОК ДАТ; ",""))</f>
        <v/>
      </c>
      <c r="N304" s="30" t="str">
        <f>IF(A304="","",IF(Настройки_2026!$B$6="ДЕМО",1,IF(I304="ДЕМО",0,1)))</f>
        <v/>
      </c>
    </row>
    <row r="305" spans="1:14" x14ac:dyDescent="0.25">
      <c r="A305" s="26"/>
      <c r="B305" s="27"/>
      <c r="C305" s="27"/>
      <c r="D305" s="27"/>
      <c r="E305" s="28"/>
      <c r="F305" s="27"/>
      <c r="G305" s="27"/>
      <c r="H305" s="29"/>
      <c r="I305" s="27"/>
      <c r="J305" s="27"/>
      <c r="K305" s="30" t="str">
        <f t="shared" si="4"/>
        <v/>
      </c>
      <c r="L305" s="31">
        <f>IF(B305&lt;&gt;"Расход",0,IF(H305&lt;&gt;"",E305*H305,IFERROR(IF(VLOOKUP(D305,Категории!$A$3:$F$27,4,FALSE)="",0,E305*VLOOKUP(D305,Категории!$A$3:$F$27,4,FALSE)),0)))</f>
        <v>0</v>
      </c>
      <c r="M305" s="30" t="str">
        <f>IF(A305="","",IF(NOT(ISNUMBER(A305)),"ДАТА; ","")&amp;IF(NOT(ISNUMBER(E305)),"СУММА; ","")&amp;IF(AND(B305&lt;&gt;"",D305&lt;&gt;"",IFERROR(VLOOKUP(D305,Категории!$A$3:$B$27,2,FALSE),"")&lt;&gt;B305),"ТИП/КАТЕГОРИЯ; ","")&amp;IF(AND(B305="Доход",G305=""),"НЕТ № КВИТАНЦИИ; ","")&amp;IF(AND(B305="Расход",H305="",IFERROR(VLOOKUP(D305,Категории!$A$3:$D$27,4,FALSE),"")=""),"УКАЖИТЕ ДОЛЮ; ","")&amp;IF(COUNTIFS($A$5:$A$504,A305,$B$5:$B$504,B305,$C$5:$C$504,C305,$E$5:$E$504,E305)&gt;1,"ВОЗМОЖНЫЙ ДУБЛЬ; ","")&amp;IF(AND(A305&lt;&gt;"",A306&lt;&gt;"",A305&lt;A306),"ПОРЯДОК ДАТ; ",""))</f>
        <v/>
      </c>
      <c r="N305" s="30" t="str">
        <f>IF(A305="","",IF(Настройки_2026!$B$6="ДЕМО",1,IF(I305="ДЕМО",0,1)))</f>
        <v/>
      </c>
    </row>
    <row r="306" spans="1:14" x14ac:dyDescent="0.25">
      <c r="A306" s="26"/>
      <c r="B306" s="27"/>
      <c r="C306" s="27"/>
      <c r="D306" s="27"/>
      <c r="E306" s="28"/>
      <c r="F306" s="27"/>
      <c r="G306" s="27"/>
      <c r="H306" s="29"/>
      <c r="I306" s="27"/>
      <c r="J306" s="27"/>
      <c r="K306" s="30" t="str">
        <f t="shared" si="4"/>
        <v/>
      </c>
      <c r="L306" s="31">
        <f>IF(B306&lt;&gt;"Расход",0,IF(H306&lt;&gt;"",E306*H306,IFERROR(IF(VLOOKUP(D306,Категории!$A$3:$F$27,4,FALSE)="",0,E306*VLOOKUP(D306,Категории!$A$3:$F$27,4,FALSE)),0)))</f>
        <v>0</v>
      </c>
      <c r="M306" s="30" t="str">
        <f>IF(A306="","",IF(NOT(ISNUMBER(A306)),"ДАТА; ","")&amp;IF(NOT(ISNUMBER(E306)),"СУММА; ","")&amp;IF(AND(B306&lt;&gt;"",D306&lt;&gt;"",IFERROR(VLOOKUP(D306,Категории!$A$3:$B$27,2,FALSE),"")&lt;&gt;B306),"ТИП/КАТЕГОРИЯ; ","")&amp;IF(AND(B306="Доход",G306=""),"НЕТ № КВИТАНЦИИ; ","")&amp;IF(AND(B306="Расход",H306="",IFERROR(VLOOKUP(D306,Категории!$A$3:$D$27,4,FALSE),"")=""),"УКАЖИТЕ ДОЛЮ; ","")&amp;IF(COUNTIFS($A$5:$A$504,A306,$B$5:$B$504,B306,$C$5:$C$504,C306,$E$5:$E$504,E306)&gt;1,"ВОЗМОЖНЫЙ ДУБЛЬ; ","")&amp;IF(AND(A306&lt;&gt;"",A307&lt;&gt;"",A306&lt;A307),"ПОРЯДОК ДАТ; ",""))</f>
        <v/>
      </c>
      <c r="N306" s="30" t="str">
        <f>IF(A306="","",IF(Настройки_2026!$B$6="ДЕМО",1,IF(I306="ДЕМО",0,1)))</f>
        <v/>
      </c>
    </row>
    <row r="307" spans="1:14" x14ac:dyDescent="0.25">
      <c r="A307" s="26"/>
      <c r="B307" s="27"/>
      <c r="C307" s="27"/>
      <c r="D307" s="27"/>
      <c r="E307" s="28"/>
      <c r="F307" s="27"/>
      <c r="G307" s="27"/>
      <c r="H307" s="29"/>
      <c r="I307" s="27"/>
      <c r="J307" s="27"/>
      <c r="K307" s="30" t="str">
        <f t="shared" si="4"/>
        <v/>
      </c>
      <c r="L307" s="31">
        <f>IF(B307&lt;&gt;"Расход",0,IF(H307&lt;&gt;"",E307*H307,IFERROR(IF(VLOOKUP(D307,Категории!$A$3:$F$27,4,FALSE)="",0,E307*VLOOKUP(D307,Категории!$A$3:$F$27,4,FALSE)),0)))</f>
        <v>0</v>
      </c>
      <c r="M307" s="30" t="str">
        <f>IF(A307="","",IF(NOT(ISNUMBER(A307)),"ДАТА; ","")&amp;IF(NOT(ISNUMBER(E307)),"СУММА; ","")&amp;IF(AND(B307&lt;&gt;"",D307&lt;&gt;"",IFERROR(VLOOKUP(D307,Категории!$A$3:$B$27,2,FALSE),"")&lt;&gt;B307),"ТИП/КАТЕГОРИЯ; ","")&amp;IF(AND(B307="Доход",G307=""),"НЕТ № КВИТАНЦИИ; ","")&amp;IF(AND(B307="Расход",H307="",IFERROR(VLOOKUP(D307,Категории!$A$3:$D$27,4,FALSE),"")=""),"УКАЖИТЕ ДОЛЮ; ","")&amp;IF(COUNTIFS($A$5:$A$504,A307,$B$5:$B$504,B307,$C$5:$C$504,C307,$E$5:$E$504,E307)&gt;1,"ВОЗМОЖНЫЙ ДУБЛЬ; ","")&amp;IF(AND(A307&lt;&gt;"",A308&lt;&gt;"",A307&lt;A308),"ПОРЯДОК ДАТ; ",""))</f>
        <v/>
      </c>
      <c r="N307" s="30" t="str">
        <f>IF(A307="","",IF(Настройки_2026!$B$6="ДЕМО",1,IF(I307="ДЕМО",0,1)))</f>
        <v/>
      </c>
    </row>
    <row r="308" spans="1:14" x14ac:dyDescent="0.25">
      <c r="A308" s="26"/>
      <c r="B308" s="27"/>
      <c r="C308" s="27"/>
      <c r="D308" s="27"/>
      <c r="E308" s="28"/>
      <c r="F308" s="27"/>
      <c r="G308" s="27"/>
      <c r="H308" s="29"/>
      <c r="I308" s="27"/>
      <c r="J308" s="27"/>
      <c r="K308" s="30" t="str">
        <f t="shared" si="4"/>
        <v/>
      </c>
      <c r="L308" s="31">
        <f>IF(B308&lt;&gt;"Расход",0,IF(H308&lt;&gt;"",E308*H308,IFERROR(IF(VLOOKUP(D308,Категории!$A$3:$F$27,4,FALSE)="",0,E308*VLOOKUP(D308,Категории!$A$3:$F$27,4,FALSE)),0)))</f>
        <v>0</v>
      </c>
      <c r="M308" s="30" t="str">
        <f>IF(A308="","",IF(NOT(ISNUMBER(A308)),"ДАТА; ","")&amp;IF(NOT(ISNUMBER(E308)),"СУММА; ","")&amp;IF(AND(B308&lt;&gt;"",D308&lt;&gt;"",IFERROR(VLOOKUP(D308,Категории!$A$3:$B$27,2,FALSE),"")&lt;&gt;B308),"ТИП/КАТЕГОРИЯ; ","")&amp;IF(AND(B308="Доход",G308=""),"НЕТ № КВИТАНЦИИ; ","")&amp;IF(AND(B308="Расход",H308="",IFERROR(VLOOKUP(D308,Категории!$A$3:$D$27,4,FALSE),"")=""),"УКАЖИТЕ ДОЛЮ; ","")&amp;IF(COUNTIFS($A$5:$A$504,A308,$B$5:$B$504,B308,$C$5:$C$504,C308,$E$5:$E$504,E308)&gt;1,"ВОЗМОЖНЫЙ ДУБЛЬ; ","")&amp;IF(AND(A308&lt;&gt;"",A309&lt;&gt;"",A308&lt;A309),"ПОРЯДОК ДАТ; ",""))</f>
        <v/>
      </c>
      <c r="N308" s="30" t="str">
        <f>IF(A308="","",IF(Настройки_2026!$B$6="ДЕМО",1,IF(I308="ДЕМО",0,1)))</f>
        <v/>
      </c>
    </row>
    <row r="309" spans="1:14" x14ac:dyDescent="0.25">
      <c r="A309" s="26"/>
      <c r="B309" s="27"/>
      <c r="C309" s="27"/>
      <c r="D309" s="27"/>
      <c r="E309" s="28"/>
      <c r="F309" s="27"/>
      <c r="G309" s="27"/>
      <c r="H309" s="29"/>
      <c r="I309" s="27"/>
      <c r="J309" s="27"/>
      <c r="K309" s="30" t="str">
        <f t="shared" si="4"/>
        <v/>
      </c>
      <c r="L309" s="31">
        <f>IF(B309&lt;&gt;"Расход",0,IF(H309&lt;&gt;"",E309*H309,IFERROR(IF(VLOOKUP(D309,Категории!$A$3:$F$27,4,FALSE)="",0,E309*VLOOKUP(D309,Категории!$A$3:$F$27,4,FALSE)),0)))</f>
        <v>0</v>
      </c>
      <c r="M309" s="30" t="str">
        <f>IF(A309="","",IF(NOT(ISNUMBER(A309)),"ДАТА; ","")&amp;IF(NOT(ISNUMBER(E309)),"СУММА; ","")&amp;IF(AND(B309&lt;&gt;"",D309&lt;&gt;"",IFERROR(VLOOKUP(D309,Категории!$A$3:$B$27,2,FALSE),"")&lt;&gt;B309),"ТИП/КАТЕГОРИЯ; ","")&amp;IF(AND(B309="Доход",G309=""),"НЕТ № КВИТАНЦИИ; ","")&amp;IF(AND(B309="Расход",H309="",IFERROR(VLOOKUP(D309,Категории!$A$3:$D$27,4,FALSE),"")=""),"УКАЖИТЕ ДОЛЮ; ","")&amp;IF(COUNTIFS($A$5:$A$504,A309,$B$5:$B$504,B309,$C$5:$C$504,C309,$E$5:$E$504,E309)&gt;1,"ВОЗМОЖНЫЙ ДУБЛЬ; ","")&amp;IF(AND(A309&lt;&gt;"",A310&lt;&gt;"",A309&lt;A310),"ПОРЯДОК ДАТ; ",""))</f>
        <v/>
      </c>
      <c r="N309" s="30" t="str">
        <f>IF(A309="","",IF(Настройки_2026!$B$6="ДЕМО",1,IF(I309="ДЕМО",0,1)))</f>
        <v/>
      </c>
    </row>
    <row r="310" spans="1:14" x14ac:dyDescent="0.25">
      <c r="A310" s="26"/>
      <c r="B310" s="27"/>
      <c r="C310" s="27"/>
      <c r="D310" s="27"/>
      <c r="E310" s="28"/>
      <c r="F310" s="27"/>
      <c r="G310" s="27"/>
      <c r="H310" s="29"/>
      <c r="I310" s="27"/>
      <c r="J310" s="27"/>
      <c r="K310" s="30" t="str">
        <f t="shared" si="4"/>
        <v/>
      </c>
      <c r="L310" s="31">
        <f>IF(B310&lt;&gt;"Расход",0,IF(H310&lt;&gt;"",E310*H310,IFERROR(IF(VLOOKUP(D310,Категории!$A$3:$F$27,4,FALSE)="",0,E310*VLOOKUP(D310,Категории!$A$3:$F$27,4,FALSE)),0)))</f>
        <v>0</v>
      </c>
      <c r="M310" s="30" t="str">
        <f>IF(A310="","",IF(NOT(ISNUMBER(A310)),"ДАТА; ","")&amp;IF(NOT(ISNUMBER(E310)),"СУММА; ","")&amp;IF(AND(B310&lt;&gt;"",D310&lt;&gt;"",IFERROR(VLOOKUP(D310,Категории!$A$3:$B$27,2,FALSE),"")&lt;&gt;B310),"ТИП/КАТЕГОРИЯ; ","")&amp;IF(AND(B310="Доход",G310=""),"НЕТ № КВИТАНЦИИ; ","")&amp;IF(AND(B310="Расход",H310="",IFERROR(VLOOKUP(D310,Категории!$A$3:$D$27,4,FALSE),"")=""),"УКАЖИТЕ ДОЛЮ; ","")&amp;IF(COUNTIFS($A$5:$A$504,A310,$B$5:$B$504,B310,$C$5:$C$504,C310,$E$5:$E$504,E310)&gt;1,"ВОЗМОЖНЫЙ ДУБЛЬ; ","")&amp;IF(AND(A310&lt;&gt;"",A311&lt;&gt;"",A310&lt;A311),"ПОРЯДОК ДАТ; ",""))</f>
        <v/>
      </c>
      <c r="N310" s="30" t="str">
        <f>IF(A310="","",IF(Настройки_2026!$B$6="ДЕМО",1,IF(I310="ДЕМО",0,1)))</f>
        <v/>
      </c>
    </row>
    <row r="311" spans="1:14" x14ac:dyDescent="0.25">
      <c r="A311" s="26"/>
      <c r="B311" s="27"/>
      <c r="C311" s="27"/>
      <c r="D311" s="27"/>
      <c r="E311" s="28"/>
      <c r="F311" s="27"/>
      <c r="G311" s="27"/>
      <c r="H311" s="29"/>
      <c r="I311" s="27"/>
      <c r="J311" s="27"/>
      <c r="K311" s="30" t="str">
        <f t="shared" si="4"/>
        <v/>
      </c>
      <c r="L311" s="31">
        <f>IF(B311&lt;&gt;"Расход",0,IF(H311&lt;&gt;"",E311*H311,IFERROR(IF(VLOOKUP(D311,Категории!$A$3:$F$27,4,FALSE)="",0,E311*VLOOKUP(D311,Категории!$A$3:$F$27,4,FALSE)),0)))</f>
        <v>0</v>
      </c>
      <c r="M311" s="30" t="str">
        <f>IF(A311="","",IF(NOT(ISNUMBER(A311)),"ДАТА; ","")&amp;IF(NOT(ISNUMBER(E311)),"СУММА; ","")&amp;IF(AND(B311&lt;&gt;"",D311&lt;&gt;"",IFERROR(VLOOKUP(D311,Категории!$A$3:$B$27,2,FALSE),"")&lt;&gt;B311),"ТИП/КАТЕГОРИЯ; ","")&amp;IF(AND(B311="Доход",G311=""),"НЕТ № КВИТАНЦИИ; ","")&amp;IF(AND(B311="Расход",H311="",IFERROR(VLOOKUP(D311,Категории!$A$3:$D$27,4,FALSE),"")=""),"УКАЖИТЕ ДОЛЮ; ","")&amp;IF(COUNTIFS($A$5:$A$504,A311,$B$5:$B$504,B311,$C$5:$C$504,C311,$E$5:$E$504,E311)&gt;1,"ВОЗМОЖНЫЙ ДУБЛЬ; ","")&amp;IF(AND(A311&lt;&gt;"",A312&lt;&gt;"",A311&lt;A312),"ПОРЯДОК ДАТ; ",""))</f>
        <v/>
      </c>
      <c r="N311" s="30" t="str">
        <f>IF(A311="","",IF(Настройки_2026!$B$6="ДЕМО",1,IF(I311="ДЕМО",0,1)))</f>
        <v/>
      </c>
    </row>
    <row r="312" spans="1:14" x14ac:dyDescent="0.25">
      <c r="A312" s="26"/>
      <c r="B312" s="27"/>
      <c r="C312" s="27"/>
      <c r="D312" s="27"/>
      <c r="E312" s="28"/>
      <c r="F312" s="27"/>
      <c r="G312" s="27"/>
      <c r="H312" s="29"/>
      <c r="I312" s="27"/>
      <c r="J312" s="27"/>
      <c r="K312" s="30" t="str">
        <f t="shared" si="4"/>
        <v/>
      </c>
      <c r="L312" s="31">
        <f>IF(B312&lt;&gt;"Расход",0,IF(H312&lt;&gt;"",E312*H312,IFERROR(IF(VLOOKUP(D312,Категории!$A$3:$F$27,4,FALSE)="",0,E312*VLOOKUP(D312,Категории!$A$3:$F$27,4,FALSE)),0)))</f>
        <v>0</v>
      </c>
      <c r="M312" s="30" t="str">
        <f>IF(A312="","",IF(NOT(ISNUMBER(A312)),"ДАТА; ","")&amp;IF(NOT(ISNUMBER(E312)),"СУММА; ","")&amp;IF(AND(B312&lt;&gt;"",D312&lt;&gt;"",IFERROR(VLOOKUP(D312,Категории!$A$3:$B$27,2,FALSE),"")&lt;&gt;B312),"ТИП/КАТЕГОРИЯ; ","")&amp;IF(AND(B312="Доход",G312=""),"НЕТ № КВИТАНЦИИ; ","")&amp;IF(AND(B312="Расход",H312="",IFERROR(VLOOKUP(D312,Категории!$A$3:$D$27,4,FALSE),"")=""),"УКАЖИТЕ ДОЛЮ; ","")&amp;IF(COUNTIFS($A$5:$A$504,A312,$B$5:$B$504,B312,$C$5:$C$504,C312,$E$5:$E$504,E312)&gt;1,"ВОЗМОЖНЫЙ ДУБЛЬ; ","")&amp;IF(AND(A312&lt;&gt;"",A313&lt;&gt;"",A312&lt;A313),"ПОРЯДОК ДАТ; ",""))</f>
        <v/>
      </c>
      <c r="N312" s="30" t="str">
        <f>IF(A312="","",IF(Настройки_2026!$B$6="ДЕМО",1,IF(I312="ДЕМО",0,1)))</f>
        <v/>
      </c>
    </row>
    <row r="313" spans="1:14" x14ac:dyDescent="0.25">
      <c r="A313" s="26"/>
      <c r="B313" s="27"/>
      <c r="C313" s="27"/>
      <c r="D313" s="27"/>
      <c r="E313" s="28"/>
      <c r="F313" s="27"/>
      <c r="G313" s="27"/>
      <c r="H313" s="29"/>
      <c r="I313" s="27"/>
      <c r="J313" s="27"/>
      <c r="K313" s="30" t="str">
        <f t="shared" si="4"/>
        <v/>
      </c>
      <c r="L313" s="31">
        <f>IF(B313&lt;&gt;"Расход",0,IF(H313&lt;&gt;"",E313*H313,IFERROR(IF(VLOOKUP(D313,Категории!$A$3:$F$27,4,FALSE)="",0,E313*VLOOKUP(D313,Категории!$A$3:$F$27,4,FALSE)),0)))</f>
        <v>0</v>
      </c>
      <c r="M313" s="30" t="str">
        <f>IF(A313="","",IF(NOT(ISNUMBER(A313)),"ДАТА; ","")&amp;IF(NOT(ISNUMBER(E313)),"СУММА; ","")&amp;IF(AND(B313&lt;&gt;"",D313&lt;&gt;"",IFERROR(VLOOKUP(D313,Категории!$A$3:$B$27,2,FALSE),"")&lt;&gt;B313),"ТИП/КАТЕГОРИЯ; ","")&amp;IF(AND(B313="Доход",G313=""),"НЕТ № КВИТАНЦИИ; ","")&amp;IF(AND(B313="Расход",H313="",IFERROR(VLOOKUP(D313,Категории!$A$3:$D$27,4,FALSE),"")=""),"УКАЖИТЕ ДОЛЮ; ","")&amp;IF(COUNTIFS($A$5:$A$504,A313,$B$5:$B$504,B313,$C$5:$C$504,C313,$E$5:$E$504,E313)&gt;1,"ВОЗМОЖНЫЙ ДУБЛЬ; ","")&amp;IF(AND(A313&lt;&gt;"",A314&lt;&gt;"",A313&lt;A314),"ПОРЯДОК ДАТ; ",""))</f>
        <v/>
      </c>
      <c r="N313" s="30" t="str">
        <f>IF(A313="","",IF(Настройки_2026!$B$6="ДЕМО",1,IF(I313="ДЕМО",0,1)))</f>
        <v/>
      </c>
    </row>
    <row r="314" spans="1:14" x14ac:dyDescent="0.25">
      <c r="A314" s="26"/>
      <c r="B314" s="27"/>
      <c r="C314" s="27"/>
      <c r="D314" s="27"/>
      <c r="E314" s="28"/>
      <c r="F314" s="27"/>
      <c r="G314" s="27"/>
      <c r="H314" s="29"/>
      <c r="I314" s="27"/>
      <c r="J314" s="27"/>
      <c r="K314" s="30" t="str">
        <f t="shared" si="4"/>
        <v/>
      </c>
      <c r="L314" s="31">
        <f>IF(B314&lt;&gt;"Расход",0,IF(H314&lt;&gt;"",E314*H314,IFERROR(IF(VLOOKUP(D314,Категории!$A$3:$F$27,4,FALSE)="",0,E314*VLOOKUP(D314,Категории!$A$3:$F$27,4,FALSE)),0)))</f>
        <v>0</v>
      </c>
      <c r="M314" s="30" t="str">
        <f>IF(A314="","",IF(NOT(ISNUMBER(A314)),"ДАТА; ","")&amp;IF(NOT(ISNUMBER(E314)),"СУММА; ","")&amp;IF(AND(B314&lt;&gt;"",D314&lt;&gt;"",IFERROR(VLOOKUP(D314,Категории!$A$3:$B$27,2,FALSE),"")&lt;&gt;B314),"ТИП/КАТЕГОРИЯ; ","")&amp;IF(AND(B314="Доход",G314=""),"НЕТ № КВИТАНЦИИ; ","")&amp;IF(AND(B314="Расход",H314="",IFERROR(VLOOKUP(D314,Категории!$A$3:$D$27,4,FALSE),"")=""),"УКАЖИТЕ ДОЛЮ; ","")&amp;IF(COUNTIFS($A$5:$A$504,A314,$B$5:$B$504,B314,$C$5:$C$504,C314,$E$5:$E$504,E314)&gt;1,"ВОЗМОЖНЫЙ ДУБЛЬ; ","")&amp;IF(AND(A314&lt;&gt;"",A315&lt;&gt;"",A314&lt;A315),"ПОРЯДОК ДАТ; ",""))</f>
        <v/>
      </c>
      <c r="N314" s="30" t="str">
        <f>IF(A314="","",IF(Настройки_2026!$B$6="ДЕМО",1,IF(I314="ДЕМО",0,1)))</f>
        <v/>
      </c>
    </row>
    <row r="315" spans="1:14" x14ac:dyDescent="0.25">
      <c r="A315" s="26"/>
      <c r="B315" s="27"/>
      <c r="C315" s="27"/>
      <c r="D315" s="27"/>
      <c r="E315" s="28"/>
      <c r="F315" s="27"/>
      <c r="G315" s="27"/>
      <c r="H315" s="29"/>
      <c r="I315" s="27"/>
      <c r="J315" s="27"/>
      <c r="K315" s="30" t="str">
        <f t="shared" si="4"/>
        <v/>
      </c>
      <c r="L315" s="31">
        <f>IF(B315&lt;&gt;"Расход",0,IF(H315&lt;&gt;"",E315*H315,IFERROR(IF(VLOOKUP(D315,Категории!$A$3:$F$27,4,FALSE)="",0,E315*VLOOKUP(D315,Категории!$A$3:$F$27,4,FALSE)),0)))</f>
        <v>0</v>
      </c>
      <c r="M315" s="30" t="str">
        <f>IF(A315="","",IF(NOT(ISNUMBER(A315)),"ДАТА; ","")&amp;IF(NOT(ISNUMBER(E315)),"СУММА; ","")&amp;IF(AND(B315&lt;&gt;"",D315&lt;&gt;"",IFERROR(VLOOKUP(D315,Категории!$A$3:$B$27,2,FALSE),"")&lt;&gt;B315),"ТИП/КАТЕГОРИЯ; ","")&amp;IF(AND(B315="Доход",G315=""),"НЕТ № КВИТАНЦИИ; ","")&amp;IF(AND(B315="Расход",H315="",IFERROR(VLOOKUP(D315,Категории!$A$3:$D$27,4,FALSE),"")=""),"УКАЖИТЕ ДОЛЮ; ","")&amp;IF(COUNTIFS($A$5:$A$504,A315,$B$5:$B$504,B315,$C$5:$C$504,C315,$E$5:$E$504,E315)&gt;1,"ВОЗМОЖНЫЙ ДУБЛЬ; ","")&amp;IF(AND(A315&lt;&gt;"",A316&lt;&gt;"",A315&lt;A316),"ПОРЯДОК ДАТ; ",""))</f>
        <v/>
      </c>
      <c r="N315" s="30" t="str">
        <f>IF(A315="","",IF(Настройки_2026!$B$6="ДЕМО",1,IF(I315="ДЕМО",0,1)))</f>
        <v/>
      </c>
    </row>
    <row r="316" spans="1:14" x14ac:dyDescent="0.25">
      <c r="A316" s="26"/>
      <c r="B316" s="27"/>
      <c r="C316" s="27"/>
      <c r="D316" s="27"/>
      <c r="E316" s="28"/>
      <c r="F316" s="27"/>
      <c r="G316" s="27"/>
      <c r="H316" s="29"/>
      <c r="I316" s="27"/>
      <c r="J316" s="27"/>
      <c r="K316" s="30" t="str">
        <f t="shared" si="4"/>
        <v/>
      </c>
      <c r="L316" s="31">
        <f>IF(B316&lt;&gt;"Расход",0,IF(H316&lt;&gt;"",E316*H316,IFERROR(IF(VLOOKUP(D316,Категории!$A$3:$F$27,4,FALSE)="",0,E316*VLOOKUP(D316,Категории!$A$3:$F$27,4,FALSE)),0)))</f>
        <v>0</v>
      </c>
      <c r="M316" s="30" t="str">
        <f>IF(A316="","",IF(NOT(ISNUMBER(A316)),"ДАТА; ","")&amp;IF(NOT(ISNUMBER(E316)),"СУММА; ","")&amp;IF(AND(B316&lt;&gt;"",D316&lt;&gt;"",IFERROR(VLOOKUP(D316,Категории!$A$3:$B$27,2,FALSE),"")&lt;&gt;B316),"ТИП/КАТЕГОРИЯ; ","")&amp;IF(AND(B316="Доход",G316=""),"НЕТ № КВИТАНЦИИ; ","")&amp;IF(AND(B316="Расход",H316="",IFERROR(VLOOKUP(D316,Категории!$A$3:$D$27,4,FALSE),"")=""),"УКАЖИТЕ ДОЛЮ; ","")&amp;IF(COUNTIFS($A$5:$A$504,A316,$B$5:$B$504,B316,$C$5:$C$504,C316,$E$5:$E$504,E316)&gt;1,"ВОЗМОЖНЫЙ ДУБЛЬ; ","")&amp;IF(AND(A316&lt;&gt;"",A317&lt;&gt;"",A316&lt;A317),"ПОРЯДОК ДАТ; ",""))</f>
        <v/>
      </c>
      <c r="N316" s="30" t="str">
        <f>IF(A316="","",IF(Настройки_2026!$B$6="ДЕМО",1,IF(I316="ДЕМО",0,1)))</f>
        <v/>
      </c>
    </row>
    <row r="317" spans="1:14" x14ac:dyDescent="0.25">
      <c r="A317" s="26"/>
      <c r="B317" s="27"/>
      <c r="C317" s="27"/>
      <c r="D317" s="27"/>
      <c r="E317" s="28"/>
      <c r="F317" s="27"/>
      <c r="G317" s="27"/>
      <c r="H317" s="29"/>
      <c r="I317" s="27"/>
      <c r="J317" s="27"/>
      <c r="K317" s="30" t="str">
        <f t="shared" si="4"/>
        <v/>
      </c>
      <c r="L317" s="31">
        <f>IF(B317&lt;&gt;"Расход",0,IF(H317&lt;&gt;"",E317*H317,IFERROR(IF(VLOOKUP(D317,Категории!$A$3:$F$27,4,FALSE)="",0,E317*VLOOKUP(D317,Категории!$A$3:$F$27,4,FALSE)),0)))</f>
        <v>0</v>
      </c>
      <c r="M317" s="30" t="str">
        <f>IF(A317="","",IF(NOT(ISNUMBER(A317)),"ДАТА; ","")&amp;IF(NOT(ISNUMBER(E317)),"СУММА; ","")&amp;IF(AND(B317&lt;&gt;"",D317&lt;&gt;"",IFERROR(VLOOKUP(D317,Категории!$A$3:$B$27,2,FALSE),"")&lt;&gt;B317),"ТИП/КАТЕГОРИЯ; ","")&amp;IF(AND(B317="Доход",G317=""),"НЕТ № КВИТАНЦИИ; ","")&amp;IF(AND(B317="Расход",H317="",IFERROR(VLOOKUP(D317,Категории!$A$3:$D$27,4,FALSE),"")=""),"УКАЖИТЕ ДОЛЮ; ","")&amp;IF(COUNTIFS($A$5:$A$504,A317,$B$5:$B$504,B317,$C$5:$C$504,C317,$E$5:$E$504,E317)&gt;1,"ВОЗМОЖНЫЙ ДУБЛЬ; ","")&amp;IF(AND(A317&lt;&gt;"",A318&lt;&gt;"",A317&lt;A318),"ПОРЯДОК ДАТ; ",""))</f>
        <v/>
      </c>
      <c r="N317" s="30" t="str">
        <f>IF(A317="","",IF(Настройки_2026!$B$6="ДЕМО",1,IF(I317="ДЕМО",0,1)))</f>
        <v/>
      </c>
    </row>
    <row r="318" spans="1:14" x14ac:dyDescent="0.25">
      <c r="A318" s="26"/>
      <c r="B318" s="27"/>
      <c r="C318" s="27"/>
      <c r="D318" s="27"/>
      <c r="E318" s="28"/>
      <c r="F318" s="27"/>
      <c r="G318" s="27"/>
      <c r="H318" s="29"/>
      <c r="I318" s="27"/>
      <c r="J318" s="27"/>
      <c r="K318" s="30" t="str">
        <f t="shared" si="4"/>
        <v/>
      </c>
      <c r="L318" s="31">
        <f>IF(B318&lt;&gt;"Расход",0,IF(H318&lt;&gt;"",E318*H318,IFERROR(IF(VLOOKUP(D318,Категории!$A$3:$F$27,4,FALSE)="",0,E318*VLOOKUP(D318,Категории!$A$3:$F$27,4,FALSE)),0)))</f>
        <v>0</v>
      </c>
      <c r="M318" s="30" t="str">
        <f>IF(A318="","",IF(NOT(ISNUMBER(A318)),"ДАТА; ","")&amp;IF(NOT(ISNUMBER(E318)),"СУММА; ","")&amp;IF(AND(B318&lt;&gt;"",D318&lt;&gt;"",IFERROR(VLOOKUP(D318,Категории!$A$3:$B$27,2,FALSE),"")&lt;&gt;B318),"ТИП/КАТЕГОРИЯ; ","")&amp;IF(AND(B318="Доход",G318=""),"НЕТ № КВИТАНЦИИ; ","")&amp;IF(AND(B318="Расход",H318="",IFERROR(VLOOKUP(D318,Категории!$A$3:$D$27,4,FALSE),"")=""),"УКАЖИТЕ ДОЛЮ; ","")&amp;IF(COUNTIFS($A$5:$A$504,A318,$B$5:$B$504,B318,$C$5:$C$504,C318,$E$5:$E$504,E318)&gt;1,"ВОЗМОЖНЫЙ ДУБЛЬ; ","")&amp;IF(AND(A318&lt;&gt;"",A319&lt;&gt;"",A318&lt;A319),"ПОРЯДОК ДАТ; ",""))</f>
        <v/>
      </c>
      <c r="N318" s="30" t="str">
        <f>IF(A318="","",IF(Настройки_2026!$B$6="ДЕМО",1,IF(I318="ДЕМО",0,1)))</f>
        <v/>
      </c>
    </row>
    <row r="319" spans="1:14" x14ac:dyDescent="0.25">
      <c r="A319" s="26"/>
      <c r="B319" s="27"/>
      <c r="C319" s="27"/>
      <c r="D319" s="27"/>
      <c r="E319" s="28"/>
      <c r="F319" s="27"/>
      <c r="G319" s="27"/>
      <c r="H319" s="29"/>
      <c r="I319" s="27"/>
      <c r="J319" s="27"/>
      <c r="K319" s="30" t="str">
        <f t="shared" si="4"/>
        <v/>
      </c>
      <c r="L319" s="31">
        <f>IF(B319&lt;&gt;"Расход",0,IF(H319&lt;&gt;"",E319*H319,IFERROR(IF(VLOOKUP(D319,Категории!$A$3:$F$27,4,FALSE)="",0,E319*VLOOKUP(D319,Категории!$A$3:$F$27,4,FALSE)),0)))</f>
        <v>0</v>
      </c>
      <c r="M319" s="30" t="str">
        <f>IF(A319="","",IF(NOT(ISNUMBER(A319)),"ДАТА; ","")&amp;IF(NOT(ISNUMBER(E319)),"СУММА; ","")&amp;IF(AND(B319&lt;&gt;"",D319&lt;&gt;"",IFERROR(VLOOKUP(D319,Категории!$A$3:$B$27,2,FALSE),"")&lt;&gt;B319),"ТИП/КАТЕГОРИЯ; ","")&amp;IF(AND(B319="Доход",G319=""),"НЕТ № КВИТАНЦИИ; ","")&amp;IF(AND(B319="Расход",H319="",IFERROR(VLOOKUP(D319,Категории!$A$3:$D$27,4,FALSE),"")=""),"УКАЖИТЕ ДОЛЮ; ","")&amp;IF(COUNTIFS($A$5:$A$504,A319,$B$5:$B$504,B319,$C$5:$C$504,C319,$E$5:$E$504,E319)&gt;1,"ВОЗМОЖНЫЙ ДУБЛЬ; ","")&amp;IF(AND(A319&lt;&gt;"",A320&lt;&gt;"",A319&lt;A320),"ПОРЯДОК ДАТ; ",""))</f>
        <v/>
      </c>
      <c r="N319" s="30" t="str">
        <f>IF(A319="","",IF(Настройки_2026!$B$6="ДЕМО",1,IF(I319="ДЕМО",0,1)))</f>
        <v/>
      </c>
    </row>
    <row r="320" spans="1:14" x14ac:dyDescent="0.25">
      <c r="A320" s="26"/>
      <c r="B320" s="27"/>
      <c r="C320" s="27"/>
      <c r="D320" s="27"/>
      <c r="E320" s="28"/>
      <c r="F320" s="27"/>
      <c r="G320" s="27"/>
      <c r="H320" s="29"/>
      <c r="I320" s="27"/>
      <c r="J320" s="27"/>
      <c r="K320" s="30" t="str">
        <f t="shared" si="4"/>
        <v/>
      </c>
      <c r="L320" s="31">
        <f>IF(B320&lt;&gt;"Расход",0,IF(H320&lt;&gt;"",E320*H320,IFERROR(IF(VLOOKUP(D320,Категории!$A$3:$F$27,4,FALSE)="",0,E320*VLOOKUP(D320,Категории!$A$3:$F$27,4,FALSE)),0)))</f>
        <v>0</v>
      </c>
      <c r="M320" s="30" t="str">
        <f>IF(A320="","",IF(NOT(ISNUMBER(A320)),"ДАТА; ","")&amp;IF(NOT(ISNUMBER(E320)),"СУММА; ","")&amp;IF(AND(B320&lt;&gt;"",D320&lt;&gt;"",IFERROR(VLOOKUP(D320,Категории!$A$3:$B$27,2,FALSE),"")&lt;&gt;B320),"ТИП/КАТЕГОРИЯ; ","")&amp;IF(AND(B320="Доход",G320=""),"НЕТ № КВИТАНЦИИ; ","")&amp;IF(AND(B320="Расход",H320="",IFERROR(VLOOKUP(D320,Категории!$A$3:$D$27,4,FALSE),"")=""),"УКАЖИТЕ ДОЛЮ; ","")&amp;IF(COUNTIFS($A$5:$A$504,A320,$B$5:$B$504,B320,$C$5:$C$504,C320,$E$5:$E$504,E320)&gt;1,"ВОЗМОЖНЫЙ ДУБЛЬ; ","")&amp;IF(AND(A320&lt;&gt;"",A321&lt;&gt;"",A320&lt;A321),"ПОРЯДОК ДАТ; ",""))</f>
        <v/>
      </c>
      <c r="N320" s="30" t="str">
        <f>IF(A320="","",IF(Настройки_2026!$B$6="ДЕМО",1,IF(I320="ДЕМО",0,1)))</f>
        <v/>
      </c>
    </row>
    <row r="321" spans="1:14" x14ac:dyDescent="0.25">
      <c r="A321" s="26"/>
      <c r="B321" s="27"/>
      <c r="C321" s="27"/>
      <c r="D321" s="27"/>
      <c r="E321" s="28"/>
      <c r="F321" s="27"/>
      <c r="G321" s="27"/>
      <c r="H321" s="29"/>
      <c r="I321" s="27"/>
      <c r="J321" s="27"/>
      <c r="K321" s="30" t="str">
        <f t="shared" si="4"/>
        <v/>
      </c>
      <c r="L321" s="31">
        <f>IF(B321&lt;&gt;"Расход",0,IF(H321&lt;&gt;"",E321*H321,IFERROR(IF(VLOOKUP(D321,Категории!$A$3:$F$27,4,FALSE)="",0,E321*VLOOKUP(D321,Категории!$A$3:$F$27,4,FALSE)),0)))</f>
        <v>0</v>
      </c>
      <c r="M321" s="30" t="str">
        <f>IF(A321="","",IF(NOT(ISNUMBER(A321)),"ДАТА; ","")&amp;IF(NOT(ISNUMBER(E321)),"СУММА; ","")&amp;IF(AND(B321&lt;&gt;"",D321&lt;&gt;"",IFERROR(VLOOKUP(D321,Категории!$A$3:$B$27,2,FALSE),"")&lt;&gt;B321),"ТИП/КАТЕГОРИЯ; ","")&amp;IF(AND(B321="Доход",G321=""),"НЕТ № КВИТАНЦИИ; ","")&amp;IF(AND(B321="Расход",H321="",IFERROR(VLOOKUP(D321,Категории!$A$3:$D$27,4,FALSE),"")=""),"УКАЖИТЕ ДОЛЮ; ","")&amp;IF(COUNTIFS($A$5:$A$504,A321,$B$5:$B$504,B321,$C$5:$C$504,C321,$E$5:$E$504,E321)&gt;1,"ВОЗМОЖНЫЙ ДУБЛЬ; ","")&amp;IF(AND(A321&lt;&gt;"",A322&lt;&gt;"",A321&lt;A322),"ПОРЯДОК ДАТ; ",""))</f>
        <v/>
      </c>
      <c r="N321" s="30" t="str">
        <f>IF(A321="","",IF(Настройки_2026!$B$6="ДЕМО",1,IF(I321="ДЕМО",0,1)))</f>
        <v/>
      </c>
    </row>
    <row r="322" spans="1:14" x14ac:dyDescent="0.25">
      <c r="A322" s="26"/>
      <c r="B322" s="27"/>
      <c r="C322" s="27"/>
      <c r="D322" s="27"/>
      <c r="E322" s="28"/>
      <c r="F322" s="27"/>
      <c r="G322" s="27"/>
      <c r="H322" s="29"/>
      <c r="I322" s="27"/>
      <c r="J322" s="27"/>
      <c r="K322" s="30" t="str">
        <f t="shared" si="4"/>
        <v/>
      </c>
      <c r="L322" s="31">
        <f>IF(B322&lt;&gt;"Расход",0,IF(H322&lt;&gt;"",E322*H322,IFERROR(IF(VLOOKUP(D322,Категории!$A$3:$F$27,4,FALSE)="",0,E322*VLOOKUP(D322,Категории!$A$3:$F$27,4,FALSE)),0)))</f>
        <v>0</v>
      </c>
      <c r="M322" s="30" t="str">
        <f>IF(A322="","",IF(NOT(ISNUMBER(A322)),"ДАТА; ","")&amp;IF(NOT(ISNUMBER(E322)),"СУММА; ","")&amp;IF(AND(B322&lt;&gt;"",D322&lt;&gt;"",IFERROR(VLOOKUP(D322,Категории!$A$3:$B$27,2,FALSE),"")&lt;&gt;B322),"ТИП/КАТЕГОРИЯ; ","")&amp;IF(AND(B322="Доход",G322=""),"НЕТ № КВИТАНЦИИ; ","")&amp;IF(AND(B322="Расход",H322="",IFERROR(VLOOKUP(D322,Категории!$A$3:$D$27,4,FALSE),"")=""),"УКАЖИТЕ ДОЛЮ; ","")&amp;IF(COUNTIFS($A$5:$A$504,A322,$B$5:$B$504,B322,$C$5:$C$504,C322,$E$5:$E$504,E322)&gt;1,"ВОЗМОЖНЫЙ ДУБЛЬ; ","")&amp;IF(AND(A322&lt;&gt;"",A323&lt;&gt;"",A322&lt;A323),"ПОРЯДОК ДАТ; ",""))</f>
        <v/>
      </c>
      <c r="N322" s="30" t="str">
        <f>IF(A322="","",IF(Настройки_2026!$B$6="ДЕМО",1,IF(I322="ДЕМО",0,1)))</f>
        <v/>
      </c>
    </row>
    <row r="323" spans="1:14" x14ac:dyDescent="0.25">
      <c r="A323" s="26"/>
      <c r="B323" s="27"/>
      <c r="C323" s="27"/>
      <c r="D323" s="27"/>
      <c r="E323" s="28"/>
      <c r="F323" s="27"/>
      <c r="G323" s="27"/>
      <c r="H323" s="29"/>
      <c r="I323" s="27"/>
      <c r="J323" s="27"/>
      <c r="K323" s="30" t="str">
        <f t="shared" si="4"/>
        <v/>
      </c>
      <c r="L323" s="31">
        <f>IF(B323&lt;&gt;"Расход",0,IF(H323&lt;&gt;"",E323*H323,IFERROR(IF(VLOOKUP(D323,Категории!$A$3:$F$27,4,FALSE)="",0,E323*VLOOKUP(D323,Категории!$A$3:$F$27,4,FALSE)),0)))</f>
        <v>0</v>
      </c>
      <c r="M323" s="30" t="str">
        <f>IF(A323="","",IF(NOT(ISNUMBER(A323)),"ДАТА; ","")&amp;IF(NOT(ISNUMBER(E323)),"СУММА; ","")&amp;IF(AND(B323&lt;&gt;"",D323&lt;&gt;"",IFERROR(VLOOKUP(D323,Категории!$A$3:$B$27,2,FALSE),"")&lt;&gt;B323),"ТИП/КАТЕГОРИЯ; ","")&amp;IF(AND(B323="Доход",G323=""),"НЕТ № КВИТАНЦИИ; ","")&amp;IF(AND(B323="Расход",H323="",IFERROR(VLOOKUP(D323,Категории!$A$3:$D$27,4,FALSE),"")=""),"УКАЖИТЕ ДОЛЮ; ","")&amp;IF(COUNTIFS($A$5:$A$504,A323,$B$5:$B$504,B323,$C$5:$C$504,C323,$E$5:$E$504,E323)&gt;1,"ВОЗМОЖНЫЙ ДУБЛЬ; ","")&amp;IF(AND(A323&lt;&gt;"",A324&lt;&gt;"",A323&lt;A324),"ПОРЯДОК ДАТ; ",""))</f>
        <v/>
      </c>
      <c r="N323" s="30" t="str">
        <f>IF(A323="","",IF(Настройки_2026!$B$6="ДЕМО",1,IF(I323="ДЕМО",0,1)))</f>
        <v/>
      </c>
    </row>
    <row r="324" spans="1:14" x14ac:dyDescent="0.25">
      <c r="A324" s="26"/>
      <c r="B324" s="27"/>
      <c r="C324" s="27"/>
      <c r="D324" s="27"/>
      <c r="E324" s="28"/>
      <c r="F324" s="27"/>
      <c r="G324" s="27"/>
      <c r="H324" s="29"/>
      <c r="I324" s="27"/>
      <c r="J324" s="27"/>
      <c r="K324" s="30" t="str">
        <f t="shared" si="4"/>
        <v/>
      </c>
      <c r="L324" s="31">
        <f>IF(B324&lt;&gt;"Расход",0,IF(H324&lt;&gt;"",E324*H324,IFERROR(IF(VLOOKUP(D324,Категории!$A$3:$F$27,4,FALSE)="",0,E324*VLOOKUP(D324,Категории!$A$3:$F$27,4,FALSE)),0)))</f>
        <v>0</v>
      </c>
      <c r="M324" s="30" t="str">
        <f>IF(A324="","",IF(NOT(ISNUMBER(A324)),"ДАТА; ","")&amp;IF(NOT(ISNUMBER(E324)),"СУММА; ","")&amp;IF(AND(B324&lt;&gt;"",D324&lt;&gt;"",IFERROR(VLOOKUP(D324,Категории!$A$3:$B$27,2,FALSE),"")&lt;&gt;B324),"ТИП/КАТЕГОРИЯ; ","")&amp;IF(AND(B324="Доход",G324=""),"НЕТ № КВИТАНЦИИ; ","")&amp;IF(AND(B324="Расход",H324="",IFERROR(VLOOKUP(D324,Категории!$A$3:$D$27,4,FALSE),"")=""),"УКАЖИТЕ ДОЛЮ; ","")&amp;IF(COUNTIFS($A$5:$A$504,A324,$B$5:$B$504,B324,$C$5:$C$504,C324,$E$5:$E$504,E324)&gt;1,"ВОЗМОЖНЫЙ ДУБЛЬ; ","")&amp;IF(AND(A324&lt;&gt;"",A325&lt;&gt;"",A324&lt;A325),"ПОРЯДОК ДАТ; ",""))</f>
        <v/>
      </c>
      <c r="N324" s="30" t="str">
        <f>IF(A324="","",IF(Настройки_2026!$B$6="ДЕМО",1,IF(I324="ДЕМО",0,1)))</f>
        <v/>
      </c>
    </row>
    <row r="325" spans="1:14" x14ac:dyDescent="0.25">
      <c r="A325" s="26"/>
      <c r="B325" s="27"/>
      <c r="C325" s="27"/>
      <c r="D325" s="27"/>
      <c r="E325" s="28"/>
      <c r="F325" s="27"/>
      <c r="G325" s="27"/>
      <c r="H325" s="29"/>
      <c r="I325" s="27"/>
      <c r="J325" s="27"/>
      <c r="K325" s="30" t="str">
        <f t="shared" ref="K325:K388" si="5">IF(A325="","",MONTH(A325))</f>
        <v/>
      </c>
      <c r="L325" s="31">
        <f>IF(B325&lt;&gt;"Расход",0,IF(H325&lt;&gt;"",E325*H325,IFERROR(IF(VLOOKUP(D325,Категории!$A$3:$F$27,4,FALSE)="",0,E325*VLOOKUP(D325,Категории!$A$3:$F$27,4,FALSE)),0)))</f>
        <v>0</v>
      </c>
      <c r="M325" s="30" t="str">
        <f>IF(A325="","",IF(NOT(ISNUMBER(A325)),"ДАТА; ","")&amp;IF(NOT(ISNUMBER(E325)),"СУММА; ","")&amp;IF(AND(B325&lt;&gt;"",D325&lt;&gt;"",IFERROR(VLOOKUP(D325,Категории!$A$3:$B$27,2,FALSE),"")&lt;&gt;B325),"ТИП/КАТЕГОРИЯ; ","")&amp;IF(AND(B325="Доход",G325=""),"НЕТ № КВИТАНЦИИ; ","")&amp;IF(AND(B325="Расход",H325="",IFERROR(VLOOKUP(D325,Категории!$A$3:$D$27,4,FALSE),"")=""),"УКАЖИТЕ ДОЛЮ; ","")&amp;IF(COUNTIFS($A$5:$A$504,A325,$B$5:$B$504,B325,$C$5:$C$504,C325,$E$5:$E$504,E325)&gt;1,"ВОЗМОЖНЫЙ ДУБЛЬ; ","")&amp;IF(AND(A325&lt;&gt;"",A326&lt;&gt;"",A325&lt;A326),"ПОРЯДОК ДАТ; ",""))</f>
        <v/>
      </c>
      <c r="N325" s="30" t="str">
        <f>IF(A325="","",IF(Настройки_2026!$B$6="ДЕМО",1,IF(I325="ДЕМО",0,1)))</f>
        <v/>
      </c>
    </row>
    <row r="326" spans="1:14" x14ac:dyDescent="0.25">
      <c r="A326" s="26"/>
      <c r="B326" s="27"/>
      <c r="C326" s="27"/>
      <c r="D326" s="27"/>
      <c r="E326" s="28"/>
      <c r="F326" s="27"/>
      <c r="G326" s="27"/>
      <c r="H326" s="29"/>
      <c r="I326" s="27"/>
      <c r="J326" s="27"/>
      <c r="K326" s="30" t="str">
        <f t="shared" si="5"/>
        <v/>
      </c>
      <c r="L326" s="31">
        <f>IF(B326&lt;&gt;"Расход",0,IF(H326&lt;&gt;"",E326*H326,IFERROR(IF(VLOOKUP(D326,Категории!$A$3:$F$27,4,FALSE)="",0,E326*VLOOKUP(D326,Категории!$A$3:$F$27,4,FALSE)),0)))</f>
        <v>0</v>
      </c>
      <c r="M326" s="30" t="str">
        <f>IF(A326="","",IF(NOT(ISNUMBER(A326)),"ДАТА; ","")&amp;IF(NOT(ISNUMBER(E326)),"СУММА; ","")&amp;IF(AND(B326&lt;&gt;"",D326&lt;&gt;"",IFERROR(VLOOKUP(D326,Категории!$A$3:$B$27,2,FALSE),"")&lt;&gt;B326),"ТИП/КАТЕГОРИЯ; ","")&amp;IF(AND(B326="Доход",G326=""),"НЕТ № КВИТАНЦИИ; ","")&amp;IF(AND(B326="Расход",H326="",IFERROR(VLOOKUP(D326,Категории!$A$3:$D$27,4,FALSE),"")=""),"УКАЖИТЕ ДОЛЮ; ","")&amp;IF(COUNTIFS($A$5:$A$504,A326,$B$5:$B$504,B326,$C$5:$C$504,C326,$E$5:$E$504,E326)&gt;1,"ВОЗМОЖНЫЙ ДУБЛЬ; ","")&amp;IF(AND(A326&lt;&gt;"",A327&lt;&gt;"",A326&lt;A327),"ПОРЯДОК ДАТ; ",""))</f>
        <v/>
      </c>
      <c r="N326" s="30" t="str">
        <f>IF(A326="","",IF(Настройки_2026!$B$6="ДЕМО",1,IF(I326="ДЕМО",0,1)))</f>
        <v/>
      </c>
    </row>
    <row r="327" spans="1:14" x14ac:dyDescent="0.25">
      <c r="A327" s="26"/>
      <c r="B327" s="27"/>
      <c r="C327" s="27"/>
      <c r="D327" s="27"/>
      <c r="E327" s="28"/>
      <c r="F327" s="27"/>
      <c r="G327" s="27"/>
      <c r="H327" s="29"/>
      <c r="I327" s="27"/>
      <c r="J327" s="27"/>
      <c r="K327" s="30" t="str">
        <f t="shared" si="5"/>
        <v/>
      </c>
      <c r="L327" s="31">
        <f>IF(B327&lt;&gt;"Расход",0,IF(H327&lt;&gt;"",E327*H327,IFERROR(IF(VLOOKUP(D327,Категории!$A$3:$F$27,4,FALSE)="",0,E327*VLOOKUP(D327,Категории!$A$3:$F$27,4,FALSE)),0)))</f>
        <v>0</v>
      </c>
      <c r="M327" s="30" t="str">
        <f>IF(A327="","",IF(NOT(ISNUMBER(A327)),"ДАТА; ","")&amp;IF(NOT(ISNUMBER(E327)),"СУММА; ","")&amp;IF(AND(B327&lt;&gt;"",D327&lt;&gt;"",IFERROR(VLOOKUP(D327,Категории!$A$3:$B$27,2,FALSE),"")&lt;&gt;B327),"ТИП/КАТЕГОРИЯ; ","")&amp;IF(AND(B327="Доход",G327=""),"НЕТ № КВИТАНЦИИ; ","")&amp;IF(AND(B327="Расход",H327="",IFERROR(VLOOKUP(D327,Категории!$A$3:$D$27,4,FALSE),"")=""),"УКАЖИТЕ ДОЛЮ; ","")&amp;IF(COUNTIFS($A$5:$A$504,A327,$B$5:$B$504,B327,$C$5:$C$504,C327,$E$5:$E$504,E327)&gt;1,"ВОЗМОЖНЫЙ ДУБЛЬ; ","")&amp;IF(AND(A327&lt;&gt;"",A328&lt;&gt;"",A327&lt;A328),"ПОРЯДОК ДАТ; ",""))</f>
        <v/>
      </c>
      <c r="N327" s="30" t="str">
        <f>IF(A327="","",IF(Настройки_2026!$B$6="ДЕМО",1,IF(I327="ДЕМО",0,1)))</f>
        <v/>
      </c>
    </row>
    <row r="328" spans="1:14" x14ac:dyDescent="0.25">
      <c r="A328" s="26"/>
      <c r="B328" s="27"/>
      <c r="C328" s="27"/>
      <c r="D328" s="27"/>
      <c r="E328" s="28"/>
      <c r="F328" s="27"/>
      <c r="G328" s="27"/>
      <c r="H328" s="29"/>
      <c r="I328" s="27"/>
      <c r="J328" s="27"/>
      <c r="K328" s="30" t="str">
        <f t="shared" si="5"/>
        <v/>
      </c>
      <c r="L328" s="31">
        <f>IF(B328&lt;&gt;"Расход",0,IF(H328&lt;&gt;"",E328*H328,IFERROR(IF(VLOOKUP(D328,Категории!$A$3:$F$27,4,FALSE)="",0,E328*VLOOKUP(D328,Категории!$A$3:$F$27,4,FALSE)),0)))</f>
        <v>0</v>
      </c>
      <c r="M328" s="30" t="str">
        <f>IF(A328="","",IF(NOT(ISNUMBER(A328)),"ДАТА; ","")&amp;IF(NOT(ISNUMBER(E328)),"СУММА; ","")&amp;IF(AND(B328&lt;&gt;"",D328&lt;&gt;"",IFERROR(VLOOKUP(D328,Категории!$A$3:$B$27,2,FALSE),"")&lt;&gt;B328),"ТИП/КАТЕГОРИЯ; ","")&amp;IF(AND(B328="Доход",G328=""),"НЕТ № КВИТАНЦИИ; ","")&amp;IF(AND(B328="Расход",H328="",IFERROR(VLOOKUP(D328,Категории!$A$3:$D$27,4,FALSE),"")=""),"УКАЖИТЕ ДОЛЮ; ","")&amp;IF(COUNTIFS($A$5:$A$504,A328,$B$5:$B$504,B328,$C$5:$C$504,C328,$E$5:$E$504,E328)&gt;1,"ВОЗМОЖНЫЙ ДУБЛЬ; ","")&amp;IF(AND(A328&lt;&gt;"",A329&lt;&gt;"",A328&lt;A329),"ПОРЯДОК ДАТ; ",""))</f>
        <v/>
      </c>
      <c r="N328" s="30" t="str">
        <f>IF(A328="","",IF(Настройки_2026!$B$6="ДЕМО",1,IF(I328="ДЕМО",0,1)))</f>
        <v/>
      </c>
    </row>
    <row r="329" spans="1:14" x14ac:dyDescent="0.25">
      <c r="A329" s="26"/>
      <c r="B329" s="27"/>
      <c r="C329" s="27"/>
      <c r="D329" s="27"/>
      <c r="E329" s="28"/>
      <c r="F329" s="27"/>
      <c r="G329" s="27"/>
      <c r="H329" s="29"/>
      <c r="I329" s="27"/>
      <c r="J329" s="27"/>
      <c r="K329" s="30" t="str">
        <f t="shared" si="5"/>
        <v/>
      </c>
      <c r="L329" s="31">
        <f>IF(B329&lt;&gt;"Расход",0,IF(H329&lt;&gt;"",E329*H329,IFERROR(IF(VLOOKUP(D329,Категории!$A$3:$F$27,4,FALSE)="",0,E329*VLOOKUP(D329,Категории!$A$3:$F$27,4,FALSE)),0)))</f>
        <v>0</v>
      </c>
      <c r="M329" s="30" t="str">
        <f>IF(A329="","",IF(NOT(ISNUMBER(A329)),"ДАТА; ","")&amp;IF(NOT(ISNUMBER(E329)),"СУММА; ","")&amp;IF(AND(B329&lt;&gt;"",D329&lt;&gt;"",IFERROR(VLOOKUP(D329,Категории!$A$3:$B$27,2,FALSE),"")&lt;&gt;B329),"ТИП/КАТЕГОРИЯ; ","")&amp;IF(AND(B329="Доход",G329=""),"НЕТ № КВИТАНЦИИ; ","")&amp;IF(AND(B329="Расход",H329="",IFERROR(VLOOKUP(D329,Категории!$A$3:$D$27,4,FALSE),"")=""),"УКАЖИТЕ ДОЛЮ; ","")&amp;IF(COUNTIFS($A$5:$A$504,A329,$B$5:$B$504,B329,$C$5:$C$504,C329,$E$5:$E$504,E329)&gt;1,"ВОЗМОЖНЫЙ ДУБЛЬ; ","")&amp;IF(AND(A329&lt;&gt;"",A330&lt;&gt;"",A329&lt;A330),"ПОРЯДОК ДАТ; ",""))</f>
        <v/>
      </c>
      <c r="N329" s="30" t="str">
        <f>IF(A329="","",IF(Настройки_2026!$B$6="ДЕМО",1,IF(I329="ДЕМО",0,1)))</f>
        <v/>
      </c>
    </row>
    <row r="330" spans="1:14" x14ac:dyDescent="0.25">
      <c r="A330" s="26"/>
      <c r="B330" s="27"/>
      <c r="C330" s="27"/>
      <c r="D330" s="27"/>
      <c r="E330" s="28"/>
      <c r="F330" s="27"/>
      <c r="G330" s="27"/>
      <c r="H330" s="29"/>
      <c r="I330" s="27"/>
      <c r="J330" s="27"/>
      <c r="K330" s="30" t="str">
        <f t="shared" si="5"/>
        <v/>
      </c>
      <c r="L330" s="31">
        <f>IF(B330&lt;&gt;"Расход",0,IF(H330&lt;&gt;"",E330*H330,IFERROR(IF(VLOOKUP(D330,Категории!$A$3:$F$27,4,FALSE)="",0,E330*VLOOKUP(D330,Категории!$A$3:$F$27,4,FALSE)),0)))</f>
        <v>0</v>
      </c>
      <c r="M330" s="30" t="str">
        <f>IF(A330="","",IF(NOT(ISNUMBER(A330)),"ДАТА; ","")&amp;IF(NOT(ISNUMBER(E330)),"СУММА; ","")&amp;IF(AND(B330&lt;&gt;"",D330&lt;&gt;"",IFERROR(VLOOKUP(D330,Категории!$A$3:$B$27,2,FALSE),"")&lt;&gt;B330),"ТИП/КАТЕГОРИЯ; ","")&amp;IF(AND(B330="Доход",G330=""),"НЕТ № КВИТАНЦИИ; ","")&amp;IF(AND(B330="Расход",H330="",IFERROR(VLOOKUP(D330,Категории!$A$3:$D$27,4,FALSE),"")=""),"УКАЖИТЕ ДОЛЮ; ","")&amp;IF(COUNTIFS($A$5:$A$504,A330,$B$5:$B$504,B330,$C$5:$C$504,C330,$E$5:$E$504,E330)&gt;1,"ВОЗМОЖНЫЙ ДУБЛЬ; ","")&amp;IF(AND(A330&lt;&gt;"",A331&lt;&gt;"",A330&lt;A331),"ПОРЯДОК ДАТ; ",""))</f>
        <v/>
      </c>
      <c r="N330" s="30" t="str">
        <f>IF(A330="","",IF(Настройки_2026!$B$6="ДЕМО",1,IF(I330="ДЕМО",0,1)))</f>
        <v/>
      </c>
    </row>
    <row r="331" spans="1:14" x14ac:dyDescent="0.25">
      <c r="A331" s="26"/>
      <c r="B331" s="27"/>
      <c r="C331" s="27"/>
      <c r="D331" s="27"/>
      <c r="E331" s="28"/>
      <c r="F331" s="27"/>
      <c r="G331" s="27"/>
      <c r="H331" s="29"/>
      <c r="I331" s="27"/>
      <c r="J331" s="27"/>
      <c r="K331" s="30" t="str">
        <f t="shared" si="5"/>
        <v/>
      </c>
      <c r="L331" s="31">
        <f>IF(B331&lt;&gt;"Расход",0,IF(H331&lt;&gt;"",E331*H331,IFERROR(IF(VLOOKUP(D331,Категории!$A$3:$F$27,4,FALSE)="",0,E331*VLOOKUP(D331,Категории!$A$3:$F$27,4,FALSE)),0)))</f>
        <v>0</v>
      </c>
      <c r="M331" s="30" t="str">
        <f>IF(A331="","",IF(NOT(ISNUMBER(A331)),"ДАТА; ","")&amp;IF(NOT(ISNUMBER(E331)),"СУММА; ","")&amp;IF(AND(B331&lt;&gt;"",D331&lt;&gt;"",IFERROR(VLOOKUP(D331,Категории!$A$3:$B$27,2,FALSE),"")&lt;&gt;B331),"ТИП/КАТЕГОРИЯ; ","")&amp;IF(AND(B331="Доход",G331=""),"НЕТ № КВИТАНЦИИ; ","")&amp;IF(AND(B331="Расход",H331="",IFERROR(VLOOKUP(D331,Категории!$A$3:$D$27,4,FALSE),"")=""),"УКАЖИТЕ ДОЛЮ; ","")&amp;IF(COUNTIFS($A$5:$A$504,A331,$B$5:$B$504,B331,$C$5:$C$504,C331,$E$5:$E$504,E331)&gt;1,"ВОЗМОЖНЫЙ ДУБЛЬ; ","")&amp;IF(AND(A331&lt;&gt;"",A332&lt;&gt;"",A331&lt;A332),"ПОРЯДОК ДАТ; ",""))</f>
        <v/>
      </c>
      <c r="N331" s="30" t="str">
        <f>IF(A331="","",IF(Настройки_2026!$B$6="ДЕМО",1,IF(I331="ДЕМО",0,1)))</f>
        <v/>
      </c>
    </row>
    <row r="332" spans="1:14" x14ac:dyDescent="0.25">
      <c r="A332" s="26"/>
      <c r="B332" s="27"/>
      <c r="C332" s="27"/>
      <c r="D332" s="27"/>
      <c r="E332" s="28"/>
      <c r="F332" s="27"/>
      <c r="G332" s="27"/>
      <c r="H332" s="29"/>
      <c r="I332" s="27"/>
      <c r="J332" s="27"/>
      <c r="K332" s="30" t="str">
        <f t="shared" si="5"/>
        <v/>
      </c>
      <c r="L332" s="31">
        <f>IF(B332&lt;&gt;"Расход",0,IF(H332&lt;&gt;"",E332*H332,IFERROR(IF(VLOOKUP(D332,Категории!$A$3:$F$27,4,FALSE)="",0,E332*VLOOKUP(D332,Категории!$A$3:$F$27,4,FALSE)),0)))</f>
        <v>0</v>
      </c>
      <c r="M332" s="30" t="str">
        <f>IF(A332="","",IF(NOT(ISNUMBER(A332)),"ДАТА; ","")&amp;IF(NOT(ISNUMBER(E332)),"СУММА; ","")&amp;IF(AND(B332&lt;&gt;"",D332&lt;&gt;"",IFERROR(VLOOKUP(D332,Категории!$A$3:$B$27,2,FALSE),"")&lt;&gt;B332),"ТИП/КАТЕГОРИЯ; ","")&amp;IF(AND(B332="Доход",G332=""),"НЕТ № КВИТАНЦИИ; ","")&amp;IF(AND(B332="Расход",H332="",IFERROR(VLOOKUP(D332,Категории!$A$3:$D$27,4,FALSE),"")=""),"УКАЖИТЕ ДОЛЮ; ","")&amp;IF(COUNTIFS($A$5:$A$504,A332,$B$5:$B$504,B332,$C$5:$C$504,C332,$E$5:$E$504,E332)&gt;1,"ВОЗМОЖНЫЙ ДУБЛЬ; ","")&amp;IF(AND(A332&lt;&gt;"",A333&lt;&gt;"",A332&lt;A333),"ПОРЯДОК ДАТ; ",""))</f>
        <v/>
      </c>
      <c r="N332" s="30" t="str">
        <f>IF(A332="","",IF(Настройки_2026!$B$6="ДЕМО",1,IF(I332="ДЕМО",0,1)))</f>
        <v/>
      </c>
    </row>
    <row r="333" spans="1:14" x14ac:dyDescent="0.25">
      <c r="A333" s="26"/>
      <c r="B333" s="27"/>
      <c r="C333" s="27"/>
      <c r="D333" s="27"/>
      <c r="E333" s="28"/>
      <c r="F333" s="27"/>
      <c r="G333" s="27"/>
      <c r="H333" s="29"/>
      <c r="I333" s="27"/>
      <c r="J333" s="27"/>
      <c r="K333" s="30" t="str">
        <f t="shared" si="5"/>
        <v/>
      </c>
      <c r="L333" s="31">
        <f>IF(B333&lt;&gt;"Расход",0,IF(H333&lt;&gt;"",E333*H333,IFERROR(IF(VLOOKUP(D333,Категории!$A$3:$F$27,4,FALSE)="",0,E333*VLOOKUP(D333,Категории!$A$3:$F$27,4,FALSE)),0)))</f>
        <v>0</v>
      </c>
      <c r="M333" s="30" t="str">
        <f>IF(A333="","",IF(NOT(ISNUMBER(A333)),"ДАТА; ","")&amp;IF(NOT(ISNUMBER(E333)),"СУММА; ","")&amp;IF(AND(B333&lt;&gt;"",D333&lt;&gt;"",IFERROR(VLOOKUP(D333,Категории!$A$3:$B$27,2,FALSE),"")&lt;&gt;B333),"ТИП/КАТЕГОРИЯ; ","")&amp;IF(AND(B333="Доход",G333=""),"НЕТ № КВИТАНЦИИ; ","")&amp;IF(AND(B333="Расход",H333="",IFERROR(VLOOKUP(D333,Категории!$A$3:$D$27,4,FALSE),"")=""),"УКАЖИТЕ ДОЛЮ; ","")&amp;IF(COUNTIFS($A$5:$A$504,A333,$B$5:$B$504,B333,$C$5:$C$504,C333,$E$5:$E$504,E333)&gt;1,"ВОЗМОЖНЫЙ ДУБЛЬ; ","")&amp;IF(AND(A333&lt;&gt;"",A334&lt;&gt;"",A333&lt;A334),"ПОРЯДОК ДАТ; ",""))</f>
        <v/>
      </c>
      <c r="N333" s="30" t="str">
        <f>IF(A333="","",IF(Настройки_2026!$B$6="ДЕМО",1,IF(I333="ДЕМО",0,1)))</f>
        <v/>
      </c>
    </row>
    <row r="334" spans="1:14" x14ac:dyDescent="0.25">
      <c r="A334" s="26"/>
      <c r="B334" s="27"/>
      <c r="C334" s="27"/>
      <c r="D334" s="27"/>
      <c r="E334" s="28"/>
      <c r="F334" s="27"/>
      <c r="G334" s="27"/>
      <c r="H334" s="29"/>
      <c r="I334" s="27"/>
      <c r="J334" s="27"/>
      <c r="K334" s="30" t="str">
        <f t="shared" si="5"/>
        <v/>
      </c>
      <c r="L334" s="31">
        <f>IF(B334&lt;&gt;"Расход",0,IF(H334&lt;&gt;"",E334*H334,IFERROR(IF(VLOOKUP(D334,Категории!$A$3:$F$27,4,FALSE)="",0,E334*VLOOKUP(D334,Категории!$A$3:$F$27,4,FALSE)),0)))</f>
        <v>0</v>
      </c>
      <c r="M334" s="30" t="str">
        <f>IF(A334="","",IF(NOT(ISNUMBER(A334)),"ДАТА; ","")&amp;IF(NOT(ISNUMBER(E334)),"СУММА; ","")&amp;IF(AND(B334&lt;&gt;"",D334&lt;&gt;"",IFERROR(VLOOKUP(D334,Категории!$A$3:$B$27,2,FALSE),"")&lt;&gt;B334),"ТИП/КАТЕГОРИЯ; ","")&amp;IF(AND(B334="Доход",G334=""),"НЕТ № КВИТАНЦИИ; ","")&amp;IF(AND(B334="Расход",H334="",IFERROR(VLOOKUP(D334,Категории!$A$3:$D$27,4,FALSE),"")=""),"УКАЖИТЕ ДОЛЮ; ","")&amp;IF(COUNTIFS($A$5:$A$504,A334,$B$5:$B$504,B334,$C$5:$C$504,C334,$E$5:$E$504,E334)&gt;1,"ВОЗМОЖНЫЙ ДУБЛЬ; ","")&amp;IF(AND(A334&lt;&gt;"",A335&lt;&gt;"",A334&lt;A335),"ПОРЯДОК ДАТ; ",""))</f>
        <v/>
      </c>
      <c r="N334" s="30" t="str">
        <f>IF(A334="","",IF(Настройки_2026!$B$6="ДЕМО",1,IF(I334="ДЕМО",0,1)))</f>
        <v/>
      </c>
    </row>
    <row r="335" spans="1:14" x14ac:dyDescent="0.25">
      <c r="A335" s="26"/>
      <c r="B335" s="27"/>
      <c r="C335" s="27"/>
      <c r="D335" s="27"/>
      <c r="E335" s="28"/>
      <c r="F335" s="27"/>
      <c r="G335" s="27"/>
      <c r="H335" s="29"/>
      <c r="I335" s="27"/>
      <c r="J335" s="27"/>
      <c r="K335" s="30" t="str">
        <f t="shared" si="5"/>
        <v/>
      </c>
      <c r="L335" s="31">
        <f>IF(B335&lt;&gt;"Расход",0,IF(H335&lt;&gt;"",E335*H335,IFERROR(IF(VLOOKUP(D335,Категории!$A$3:$F$27,4,FALSE)="",0,E335*VLOOKUP(D335,Категории!$A$3:$F$27,4,FALSE)),0)))</f>
        <v>0</v>
      </c>
      <c r="M335" s="30" t="str">
        <f>IF(A335="","",IF(NOT(ISNUMBER(A335)),"ДАТА; ","")&amp;IF(NOT(ISNUMBER(E335)),"СУММА; ","")&amp;IF(AND(B335&lt;&gt;"",D335&lt;&gt;"",IFERROR(VLOOKUP(D335,Категории!$A$3:$B$27,2,FALSE),"")&lt;&gt;B335),"ТИП/КАТЕГОРИЯ; ","")&amp;IF(AND(B335="Доход",G335=""),"НЕТ № КВИТАНЦИИ; ","")&amp;IF(AND(B335="Расход",H335="",IFERROR(VLOOKUP(D335,Категории!$A$3:$D$27,4,FALSE),"")=""),"УКАЖИТЕ ДОЛЮ; ","")&amp;IF(COUNTIFS($A$5:$A$504,A335,$B$5:$B$504,B335,$C$5:$C$504,C335,$E$5:$E$504,E335)&gt;1,"ВОЗМОЖНЫЙ ДУБЛЬ; ","")&amp;IF(AND(A335&lt;&gt;"",A336&lt;&gt;"",A335&lt;A336),"ПОРЯДОК ДАТ; ",""))</f>
        <v/>
      </c>
      <c r="N335" s="30" t="str">
        <f>IF(A335="","",IF(Настройки_2026!$B$6="ДЕМО",1,IF(I335="ДЕМО",0,1)))</f>
        <v/>
      </c>
    </row>
    <row r="336" spans="1:14" x14ac:dyDescent="0.25">
      <c r="A336" s="26"/>
      <c r="B336" s="27"/>
      <c r="C336" s="27"/>
      <c r="D336" s="27"/>
      <c r="E336" s="28"/>
      <c r="F336" s="27"/>
      <c r="G336" s="27"/>
      <c r="H336" s="29"/>
      <c r="I336" s="27"/>
      <c r="J336" s="27"/>
      <c r="K336" s="30" t="str">
        <f t="shared" si="5"/>
        <v/>
      </c>
      <c r="L336" s="31">
        <f>IF(B336&lt;&gt;"Расход",0,IF(H336&lt;&gt;"",E336*H336,IFERROR(IF(VLOOKUP(D336,Категории!$A$3:$F$27,4,FALSE)="",0,E336*VLOOKUP(D336,Категории!$A$3:$F$27,4,FALSE)),0)))</f>
        <v>0</v>
      </c>
      <c r="M336" s="30" t="str">
        <f>IF(A336="","",IF(NOT(ISNUMBER(A336)),"ДАТА; ","")&amp;IF(NOT(ISNUMBER(E336)),"СУММА; ","")&amp;IF(AND(B336&lt;&gt;"",D336&lt;&gt;"",IFERROR(VLOOKUP(D336,Категории!$A$3:$B$27,2,FALSE),"")&lt;&gt;B336),"ТИП/КАТЕГОРИЯ; ","")&amp;IF(AND(B336="Доход",G336=""),"НЕТ № КВИТАНЦИИ; ","")&amp;IF(AND(B336="Расход",H336="",IFERROR(VLOOKUP(D336,Категории!$A$3:$D$27,4,FALSE),"")=""),"УКАЖИТЕ ДОЛЮ; ","")&amp;IF(COUNTIFS($A$5:$A$504,A336,$B$5:$B$504,B336,$C$5:$C$504,C336,$E$5:$E$504,E336)&gt;1,"ВОЗМОЖНЫЙ ДУБЛЬ; ","")&amp;IF(AND(A336&lt;&gt;"",A337&lt;&gt;"",A336&lt;A337),"ПОРЯДОК ДАТ; ",""))</f>
        <v/>
      </c>
      <c r="N336" s="30" t="str">
        <f>IF(A336="","",IF(Настройки_2026!$B$6="ДЕМО",1,IF(I336="ДЕМО",0,1)))</f>
        <v/>
      </c>
    </row>
    <row r="337" spans="1:14" x14ac:dyDescent="0.25">
      <c r="A337" s="26"/>
      <c r="B337" s="27"/>
      <c r="C337" s="27"/>
      <c r="D337" s="27"/>
      <c r="E337" s="28"/>
      <c r="F337" s="27"/>
      <c r="G337" s="27"/>
      <c r="H337" s="29"/>
      <c r="I337" s="27"/>
      <c r="J337" s="27"/>
      <c r="K337" s="30" t="str">
        <f t="shared" si="5"/>
        <v/>
      </c>
      <c r="L337" s="31">
        <f>IF(B337&lt;&gt;"Расход",0,IF(H337&lt;&gt;"",E337*H337,IFERROR(IF(VLOOKUP(D337,Категории!$A$3:$F$27,4,FALSE)="",0,E337*VLOOKUP(D337,Категории!$A$3:$F$27,4,FALSE)),0)))</f>
        <v>0</v>
      </c>
      <c r="M337" s="30" t="str">
        <f>IF(A337="","",IF(NOT(ISNUMBER(A337)),"ДАТА; ","")&amp;IF(NOT(ISNUMBER(E337)),"СУММА; ","")&amp;IF(AND(B337&lt;&gt;"",D337&lt;&gt;"",IFERROR(VLOOKUP(D337,Категории!$A$3:$B$27,2,FALSE),"")&lt;&gt;B337),"ТИП/КАТЕГОРИЯ; ","")&amp;IF(AND(B337="Доход",G337=""),"НЕТ № КВИТАНЦИИ; ","")&amp;IF(AND(B337="Расход",H337="",IFERROR(VLOOKUP(D337,Категории!$A$3:$D$27,4,FALSE),"")=""),"УКАЖИТЕ ДОЛЮ; ","")&amp;IF(COUNTIFS($A$5:$A$504,A337,$B$5:$B$504,B337,$C$5:$C$504,C337,$E$5:$E$504,E337)&gt;1,"ВОЗМОЖНЫЙ ДУБЛЬ; ","")&amp;IF(AND(A337&lt;&gt;"",A338&lt;&gt;"",A337&lt;A338),"ПОРЯДОК ДАТ; ",""))</f>
        <v/>
      </c>
      <c r="N337" s="30" t="str">
        <f>IF(A337="","",IF(Настройки_2026!$B$6="ДЕМО",1,IF(I337="ДЕМО",0,1)))</f>
        <v/>
      </c>
    </row>
    <row r="338" spans="1:14" x14ac:dyDescent="0.25">
      <c r="A338" s="26"/>
      <c r="B338" s="27"/>
      <c r="C338" s="27"/>
      <c r="D338" s="27"/>
      <c r="E338" s="28"/>
      <c r="F338" s="27"/>
      <c r="G338" s="27"/>
      <c r="H338" s="29"/>
      <c r="I338" s="27"/>
      <c r="J338" s="27"/>
      <c r="K338" s="30" t="str">
        <f t="shared" si="5"/>
        <v/>
      </c>
      <c r="L338" s="31">
        <f>IF(B338&lt;&gt;"Расход",0,IF(H338&lt;&gt;"",E338*H338,IFERROR(IF(VLOOKUP(D338,Категории!$A$3:$F$27,4,FALSE)="",0,E338*VLOOKUP(D338,Категории!$A$3:$F$27,4,FALSE)),0)))</f>
        <v>0</v>
      </c>
      <c r="M338" s="30" t="str">
        <f>IF(A338="","",IF(NOT(ISNUMBER(A338)),"ДАТА; ","")&amp;IF(NOT(ISNUMBER(E338)),"СУММА; ","")&amp;IF(AND(B338&lt;&gt;"",D338&lt;&gt;"",IFERROR(VLOOKUP(D338,Категории!$A$3:$B$27,2,FALSE),"")&lt;&gt;B338),"ТИП/КАТЕГОРИЯ; ","")&amp;IF(AND(B338="Доход",G338=""),"НЕТ № КВИТАНЦИИ; ","")&amp;IF(AND(B338="Расход",H338="",IFERROR(VLOOKUP(D338,Категории!$A$3:$D$27,4,FALSE),"")=""),"УКАЖИТЕ ДОЛЮ; ","")&amp;IF(COUNTIFS($A$5:$A$504,A338,$B$5:$B$504,B338,$C$5:$C$504,C338,$E$5:$E$504,E338)&gt;1,"ВОЗМОЖНЫЙ ДУБЛЬ; ","")&amp;IF(AND(A338&lt;&gt;"",A339&lt;&gt;"",A338&lt;A339),"ПОРЯДОК ДАТ; ",""))</f>
        <v/>
      </c>
      <c r="N338" s="30" t="str">
        <f>IF(A338="","",IF(Настройки_2026!$B$6="ДЕМО",1,IF(I338="ДЕМО",0,1)))</f>
        <v/>
      </c>
    </row>
    <row r="339" spans="1:14" x14ac:dyDescent="0.25">
      <c r="A339" s="26"/>
      <c r="B339" s="27"/>
      <c r="C339" s="27"/>
      <c r="D339" s="27"/>
      <c r="E339" s="28"/>
      <c r="F339" s="27"/>
      <c r="G339" s="27"/>
      <c r="H339" s="29"/>
      <c r="I339" s="27"/>
      <c r="J339" s="27"/>
      <c r="K339" s="30" t="str">
        <f t="shared" si="5"/>
        <v/>
      </c>
      <c r="L339" s="31">
        <f>IF(B339&lt;&gt;"Расход",0,IF(H339&lt;&gt;"",E339*H339,IFERROR(IF(VLOOKUP(D339,Категории!$A$3:$F$27,4,FALSE)="",0,E339*VLOOKUP(D339,Категории!$A$3:$F$27,4,FALSE)),0)))</f>
        <v>0</v>
      </c>
      <c r="M339" s="30" t="str">
        <f>IF(A339="","",IF(NOT(ISNUMBER(A339)),"ДАТА; ","")&amp;IF(NOT(ISNUMBER(E339)),"СУММА; ","")&amp;IF(AND(B339&lt;&gt;"",D339&lt;&gt;"",IFERROR(VLOOKUP(D339,Категории!$A$3:$B$27,2,FALSE),"")&lt;&gt;B339),"ТИП/КАТЕГОРИЯ; ","")&amp;IF(AND(B339="Доход",G339=""),"НЕТ № КВИТАНЦИИ; ","")&amp;IF(AND(B339="Расход",H339="",IFERROR(VLOOKUP(D339,Категории!$A$3:$D$27,4,FALSE),"")=""),"УКАЖИТЕ ДОЛЮ; ","")&amp;IF(COUNTIFS($A$5:$A$504,A339,$B$5:$B$504,B339,$C$5:$C$504,C339,$E$5:$E$504,E339)&gt;1,"ВОЗМОЖНЫЙ ДУБЛЬ; ","")&amp;IF(AND(A339&lt;&gt;"",A340&lt;&gt;"",A339&lt;A340),"ПОРЯДОК ДАТ; ",""))</f>
        <v/>
      </c>
      <c r="N339" s="30" t="str">
        <f>IF(A339="","",IF(Настройки_2026!$B$6="ДЕМО",1,IF(I339="ДЕМО",0,1)))</f>
        <v/>
      </c>
    </row>
    <row r="340" spans="1:14" x14ac:dyDescent="0.25">
      <c r="A340" s="26"/>
      <c r="B340" s="27"/>
      <c r="C340" s="27"/>
      <c r="D340" s="27"/>
      <c r="E340" s="28"/>
      <c r="F340" s="27"/>
      <c r="G340" s="27"/>
      <c r="H340" s="29"/>
      <c r="I340" s="27"/>
      <c r="J340" s="27"/>
      <c r="K340" s="30" t="str">
        <f t="shared" si="5"/>
        <v/>
      </c>
      <c r="L340" s="31">
        <f>IF(B340&lt;&gt;"Расход",0,IF(H340&lt;&gt;"",E340*H340,IFERROR(IF(VLOOKUP(D340,Категории!$A$3:$F$27,4,FALSE)="",0,E340*VLOOKUP(D340,Категории!$A$3:$F$27,4,FALSE)),0)))</f>
        <v>0</v>
      </c>
      <c r="M340" s="30" t="str">
        <f>IF(A340="","",IF(NOT(ISNUMBER(A340)),"ДАТА; ","")&amp;IF(NOT(ISNUMBER(E340)),"СУММА; ","")&amp;IF(AND(B340&lt;&gt;"",D340&lt;&gt;"",IFERROR(VLOOKUP(D340,Категории!$A$3:$B$27,2,FALSE),"")&lt;&gt;B340),"ТИП/КАТЕГОРИЯ; ","")&amp;IF(AND(B340="Доход",G340=""),"НЕТ № КВИТАНЦИИ; ","")&amp;IF(AND(B340="Расход",H340="",IFERROR(VLOOKUP(D340,Категории!$A$3:$D$27,4,FALSE),"")=""),"УКАЖИТЕ ДОЛЮ; ","")&amp;IF(COUNTIFS($A$5:$A$504,A340,$B$5:$B$504,B340,$C$5:$C$504,C340,$E$5:$E$504,E340)&gt;1,"ВОЗМОЖНЫЙ ДУБЛЬ; ","")&amp;IF(AND(A340&lt;&gt;"",A341&lt;&gt;"",A340&lt;A341),"ПОРЯДОК ДАТ; ",""))</f>
        <v/>
      </c>
      <c r="N340" s="30" t="str">
        <f>IF(A340="","",IF(Настройки_2026!$B$6="ДЕМО",1,IF(I340="ДЕМО",0,1)))</f>
        <v/>
      </c>
    </row>
    <row r="341" spans="1:14" x14ac:dyDescent="0.25">
      <c r="A341" s="26"/>
      <c r="B341" s="27"/>
      <c r="C341" s="27"/>
      <c r="D341" s="27"/>
      <c r="E341" s="28"/>
      <c r="F341" s="27"/>
      <c r="G341" s="27"/>
      <c r="H341" s="29"/>
      <c r="I341" s="27"/>
      <c r="J341" s="27"/>
      <c r="K341" s="30" t="str">
        <f t="shared" si="5"/>
        <v/>
      </c>
      <c r="L341" s="31">
        <f>IF(B341&lt;&gt;"Расход",0,IF(H341&lt;&gt;"",E341*H341,IFERROR(IF(VLOOKUP(D341,Категории!$A$3:$F$27,4,FALSE)="",0,E341*VLOOKUP(D341,Категории!$A$3:$F$27,4,FALSE)),0)))</f>
        <v>0</v>
      </c>
      <c r="M341" s="30" t="str">
        <f>IF(A341="","",IF(NOT(ISNUMBER(A341)),"ДАТА; ","")&amp;IF(NOT(ISNUMBER(E341)),"СУММА; ","")&amp;IF(AND(B341&lt;&gt;"",D341&lt;&gt;"",IFERROR(VLOOKUP(D341,Категории!$A$3:$B$27,2,FALSE),"")&lt;&gt;B341),"ТИП/КАТЕГОРИЯ; ","")&amp;IF(AND(B341="Доход",G341=""),"НЕТ № КВИТАНЦИИ; ","")&amp;IF(AND(B341="Расход",H341="",IFERROR(VLOOKUP(D341,Категории!$A$3:$D$27,4,FALSE),"")=""),"УКАЖИТЕ ДОЛЮ; ","")&amp;IF(COUNTIFS($A$5:$A$504,A341,$B$5:$B$504,B341,$C$5:$C$504,C341,$E$5:$E$504,E341)&gt;1,"ВОЗМОЖНЫЙ ДУБЛЬ; ","")&amp;IF(AND(A341&lt;&gt;"",A342&lt;&gt;"",A341&lt;A342),"ПОРЯДОК ДАТ; ",""))</f>
        <v/>
      </c>
      <c r="N341" s="30" t="str">
        <f>IF(A341="","",IF(Настройки_2026!$B$6="ДЕМО",1,IF(I341="ДЕМО",0,1)))</f>
        <v/>
      </c>
    </row>
    <row r="342" spans="1:14" x14ac:dyDescent="0.25">
      <c r="A342" s="26"/>
      <c r="B342" s="27"/>
      <c r="C342" s="27"/>
      <c r="D342" s="27"/>
      <c r="E342" s="28"/>
      <c r="F342" s="27"/>
      <c r="G342" s="27"/>
      <c r="H342" s="29"/>
      <c r="I342" s="27"/>
      <c r="J342" s="27"/>
      <c r="K342" s="30" t="str">
        <f t="shared" si="5"/>
        <v/>
      </c>
      <c r="L342" s="31">
        <f>IF(B342&lt;&gt;"Расход",0,IF(H342&lt;&gt;"",E342*H342,IFERROR(IF(VLOOKUP(D342,Категории!$A$3:$F$27,4,FALSE)="",0,E342*VLOOKUP(D342,Категории!$A$3:$F$27,4,FALSE)),0)))</f>
        <v>0</v>
      </c>
      <c r="M342" s="30" t="str">
        <f>IF(A342="","",IF(NOT(ISNUMBER(A342)),"ДАТА; ","")&amp;IF(NOT(ISNUMBER(E342)),"СУММА; ","")&amp;IF(AND(B342&lt;&gt;"",D342&lt;&gt;"",IFERROR(VLOOKUP(D342,Категории!$A$3:$B$27,2,FALSE),"")&lt;&gt;B342),"ТИП/КАТЕГОРИЯ; ","")&amp;IF(AND(B342="Доход",G342=""),"НЕТ № КВИТАНЦИИ; ","")&amp;IF(AND(B342="Расход",H342="",IFERROR(VLOOKUP(D342,Категории!$A$3:$D$27,4,FALSE),"")=""),"УКАЖИТЕ ДОЛЮ; ","")&amp;IF(COUNTIFS($A$5:$A$504,A342,$B$5:$B$504,B342,$C$5:$C$504,C342,$E$5:$E$504,E342)&gt;1,"ВОЗМОЖНЫЙ ДУБЛЬ; ","")&amp;IF(AND(A342&lt;&gt;"",A343&lt;&gt;"",A342&lt;A343),"ПОРЯДОК ДАТ; ",""))</f>
        <v/>
      </c>
      <c r="N342" s="30" t="str">
        <f>IF(A342="","",IF(Настройки_2026!$B$6="ДЕМО",1,IF(I342="ДЕМО",0,1)))</f>
        <v/>
      </c>
    </row>
    <row r="343" spans="1:14" x14ac:dyDescent="0.25">
      <c r="A343" s="26"/>
      <c r="B343" s="27"/>
      <c r="C343" s="27"/>
      <c r="D343" s="27"/>
      <c r="E343" s="28"/>
      <c r="F343" s="27"/>
      <c r="G343" s="27"/>
      <c r="H343" s="29"/>
      <c r="I343" s="27"/>
      <c r="J343" s="27"/>
      <c r="K343" s="30" t="str">
        <f t="shared" si="5"/>
        <v/>
      </c>
      <c r="L343" s="31">
        <f>IF(B343&lt;&gt;"Расход",0,IF(H343&lt;&gt;"",E343*H343,IFERROR(IF(VLOOKUP(D343,Категории!$A$3:$F$27,4,FALSE)="",0,E343*VLOOKUP(D343,Категории!$A$3:$F$27,4,FALSE)),0)))</f>
        <v>0</v>
      </c>
      <c r="M343" s="30" t="str">
        <f>IF(A343="","",IF(NOT(ISNUMBER(A343)),"ДАТА; ","")&amp;IF(NOT(ISNUMBER(E343)),"СУММА; ","")&amp;IF(AND(B343&lt;&gt;"",D343&lt;&gt;"",IFERROR(VLOOKUP(D343,Категории!$A$3:$B$27,2,FALSE),"")&lt;&gt;B343),"ТИП/КАТЕГОРИЯ; ","")&amp;IF(AND(B343="Доход",G343=""),"НЕТ № КВИТАНЦИИ; ","")&amp;IF(AND(B343="Расход",H343="",IFERROR(VLOOKUP(D343,Категории!$A$3:$D$27,4,FALSE),"")=""),"УКАЖИТЕ ДОЛЮ; ","")&amp;IF(COUNTIFS($A$5:$A$504,A343,$B$5:$B$504,B343,$C$5:$C$504,C343,$E$5:$E$504,E343)&gt;1,"ВОЗМОЖНЫЙ ДУБЛЬ; ","")&amp;IF(AND(A343&lt;&gt;"",A344&lt;&gt;"",A343&lt;A344),"ПОРЯДОК ДАТ; ",""))</f>
        <v/>
      </c>
      <c r="N343" s="30" t="str">
        <f>IF(A343="","",IF(Настройки_2026!$B$6="ДЕМО",1,IF(I343="ДЕМО",0,1)))</f>
        <v/>
      </c>
    </row>
    <row r="344" spans="1:14" x14ac:dyDescent="0.25">
      <c r="A344" s="26"/>
      <c r="B344" s="27"/>
      <c r="C344" s="27"/>
      <c r="D344" s="27"/>
      <c r="E344" s="28"/>
      <c r="F344" s="27"/>
      <c r="G344" s="27"/>
      <c r="H344" s="29"/>
      <c r="I344" s="27"/>
      <c r="J344" s="27"/>
      <c r="K344" s="30" t="str">
        <f t="shared" si="5"/>
        <v/>
      </c>
      <c r="L344" s="31">
        <f>IF(B344&lt;&gt;"Расход",0,IF(H344&lt;&gt;"",E344*H344,IFERROR(IF(VLOOKUP(D344,Категории!$A$3:$F$27,4,FALSE)="",0,E344*VLOOKUP(D344,Категории!$A$3:$F$27,4,FALSE)),0)))</f>
        <v>0</v>
      </c>
      <c r="M344" s="30" t="str">
        <f>IF(A344="","",IF(NOT(ISNUMBER(A344)),"ДАТА; ","")&amp;IF(NOT(ISNUMBER(E344)),"СУММА; ","")&amp;IF(AND(B344&lt;&gt;"",D344&lt;&gt;"",IFERROR(VLOOKUP(D344,Категории!$A$3:$B$27,2,FALSE),"")&lt;&gt;B344),"ТИП/КАТЕГОРИЯ; ","")&amp;IF(AND(B344="Доход",G344=""),"НЕТ № КВИТАНЦИИ; ","")&amp;IF(AND(B344="Расход",H344="",IFERROR(VLOOKUP(D344,Категории!$A$3:$D$27,4,FALSE),"")=""),"УКАЖИТЕ ДОЛЮ; ","")&amp;IF(COUNTIFS($A$5:$A$504,A344,$B$5:$B$504,B344,$C$5:$C$504,C344,$E$5:$E$504,E344)&gt;1,"ВОЗМОЖНЫЙ ДУБЛЬ; ","")&amp;IF(AND(A344&lt;&gt;"",A345&lt;&gt;"",A344&lt;A345),"ПОРЯДОК ДАТ; ",""))</f>
        <v/>
      </c>
      <c r="N344" s="30" t="str">
        <f>IF(A344="","",IF(Настройки_2026!$B$6="ДЕМО",1,IF(I344="ДЕМО",0,1)))</f>
        <v/>
      </c>
    </row>
    <row r="345" spans="1:14" x14ac:dyDescent="0.25">
      <c r="A345" s="26"/>
      <c r="B345" s="27"/>
      <c r="C345" s="27"/>
      <c r="D345" s="27"/>
      <c r="E345" s="28"/>
      <c r="F345" s="27"/>
      <c r="G345" s="27"/>
      <c r="H345" s="29"/>
      <c r="I345" s="27"/>
      <c r="J345" s="27"/>
      <c r="K345" s="30" t="str">
        <f t="shared" si="5"/>
        <v/>
      </c>
      <c r="L345" s="31">
        <f>IF(B345&lt;&gt;"Расход",0,IF(H345&lt;&gt;"",E345*H345,IFERROR(IF(VLOOKUP(D345,Категории!$A$3:$F$27,4,FALSE)="",0,E345*VLOOKUP(D345,Категории!$A$3:$F$27,4,FALSE)),0)))</f>
        <v>0</v>
      </c>
      <c r="M345" s="30" t="str">
        <f>IF(A345="","",IF(NOT(ISNUMBER(A345)),"ДАТА; ","")&amp;IF(NOT(ISNUMBER(E345)),"СУММА; ","")&amp;IF(AND(B345&lt;&gt;"",D345&lt;&gt;"",IFERROR(VLOOKUP(D345,Категории!$A$3:$B$27,2,FALSE),"")&lt;&gt;B345),"ТИП/КАТЕГОРИЯ; ","")&amp;IF(AND(B345="Доход",G345=""),"НЕТ № КВИТАНЦИИ; ","")&amp;IF(AND(B345="Расход",H345="",IFERROR(VLOOKUP(D345,Категории!$A$3:$D$27,4,FALSE),"")=""),"УКАЖИТЕ ДОЛЮ; ","")&amp;IF(COUNTIFS($A$5:$A$504,A345,$B$5:$B$504,B345,$C$5:$C$504,C345,$E$5:$E$504,E345)&gt;1,"ВОЗМОЖНЫЙ ДУБЛЬ; ","")&amp;IF(AND(A345&lt;&gt;"",A346&lt;&gt;"",A345&lt;A346),"ПОРЯДОК ДАТ; ",""))</f>
        <v/>
      </c>
      <c r="N345" s="30" t="str">
        <f>IF(A345="","",IF(Настройки_2026!$B$6="ДЕМО",1,IF(I345="ДЕМО",0,1)))</f>
        <v/>
      </c>
    </row>
    <row r="346" spans="1:14" x14ac:dyDescent="0.25">
      <c r="A346" s="26"/>
      <c r="B346" s="27"/>
      <c r="C346" s="27"/>
      <c r="D346" s="27"/>
      <c r="E346" s="28"/>
      <c r="F346" s="27"/>
      <c r="G346" s="27"/>
      <c r="H346" s="29"/>
      <c r="I346" s="27"/>
      <c r="J346" s="27"/>
      <c r="K346" s="30" t="str">
        <f t="shared" si="5"/>
        <v/>
      </c>
      <c r="L346" s="31">
        <f>IF(B346&lt;&gt;"Расход",0,IF(H346&lt;&gt;"",E346*H346,IFERROR(IF(VLOOKUP(D346,Категории!$A$3:$F$27,4,FALSE)="",0,E346*VLOOKUP(D346,Категории!$A$3:$F$27,4,FALSE)),0)))</f>
        <v>0</v>
      </c>
      <c r="M346" s="30" t="str">
        <f>IF(A346="","",IF(NOT(ISNUMBER(A346)),"ДАТА; ","")&amp;IF(NOT(ISNUMBER(E346)),"СУММА; ","")&amp;IF(AND(B346&lt;&gt;"",D346&lt;&gt;"",IFERROR(VLOOKUP(D346,Категории!$A$3:$B$27,2,FALSE),"")&lt;&gt;B346),"ТИП/КАТЕГОРИЯ; ","")&amp;IF(AND(B346="Доход",G346=""),"НЕТ № КВИТАНЦИИ; ","")&amp;IF(AND(B346="Расход",H346="",IFERROR(VLOOKUP(D346,Категории!$A$3:$D$27,4,FALSE),"")=""),"УКАЖИТЕ ДОЛЮ; ","")&amp;IF(COUNTIFS($A$5:$A$504,A346,$B$5:$B$504,B346,$C$5:$C$504,C346,$E$5:$E$504,E346)&gt;1,"ВОЗМОЖНЫЙ ДУБЛЬ; ","")&amp;IF(AND(A346&lt;&gt;"",A347&lt;&gt;"",A346&lt;A347),"ПОРЯДОК ДАТ; ",""))</f>
        <v/>
      </c>
      <c r="N346" s="30" t="str">
        <f>IF(A346="","",IF(Настройки_2026!$B$6="ДЕМО",1,IF(I346="ДЕМО",0,1)))</f>
        <v/>
      </c>
    </row>
    <row r="347" spans="1:14" x14ac:dyDescent="0.25">
      <c r="A347" s="26"/>
      <c r="B347" s="27"/>
      <c r="C347" s="27"/>
      <c r="D347" s="27"/>
      <c r="E347" s="28"/>
      <c r="F347" s="27"/>
      <c r="G347" s="27"/>
      <c r="H347" s="29"/>
      <c r="I347" s="27"/>
      <c r="J347" s="27"/>
      <c r="K347" s="30" t="str">
        <f t="shared" si="5"/>
        <v/>
      </c>
      <c r="L347" s="31">
        <f>IF(B347&lt;&gt;"Расход",0,IF(H347&lt;&gt;"",E347*H347,IFERROR(IF(VLOOKUP(D347,Категории!$A$3:$F$27,4,FALSE)="",0,E347*VLOOKUP(D347,Категории!$A$3:$F$27,4,FALSE)),0)))</f>
        <v>0</v>
      </c>
      <c r="M347" s="30" t="str">
        <f>IF(A347="","",IF(NOT(ISNUMBER(A347)),"ДАТА; ","")&amp;IF(NOT(ISNUMBER(E347)),"СУММА; ","")&amp;IF(AND(B347&lt;&gt;"",D347&lt;&gt;"",IFERROR(VLOOKUP(D347,Категории!$A$3:$B$27,2,FALSE),"")&lt;&gt;B347),"ТИП/КАТЕГОРИЯ; ","")&amp;IF(AND(B347="Доход",G347=""),"НЕТ № КВИТАНЦИИ; ","")&amp;IF(AND(B347="Расход",H347="",IFERROR(VLOOKUP(D347,Категории!$A$3:$D$27,4,FALSE),"")=""),"УКАЖИТЕ ДОЛЮ; ","")&amp;IF(COUNTIFS($A$5:$A$504,A347,$B$5:$B$504,B347,$C$5:$C$504,C347,$E$5:$E$504,E347)&gt;1,"ВОЗМОЖНЫЙ ДУБЛЬ; ","")&amp;IF(AND(A347&lt;&gt;"",A348&lt;&gt;"",A347&lt;A348),"ПОРЯДОК ДАТ; ",""))</f>
        <v/>
      </c>
      <c r="N347" s="30" t="str">
        <f>IF(A347="","",IF(Настройки_2026!$B$6="ДЕМО",1,IF(I347="ДЕМО",0,1)))</f>
        <v/>
      </c>
    </row>
    <row r="348" spans="1:14" x14ac:dyDescent="0.25">
      <c r="A348" s="26"/>
      <c r="B348" s="27"/>
      <c r="C348" s="27"/>
      <c r="D348" s="27"/>
      <c r="E348" s="28"/>
      <c r="F348" s="27"/>
      <c r="G348" s="27"/>
      <c r="H348" s="29"/>
      <c r="I348" s="27"/>
      <c r="J348" s="27"/>
      <c r="K348" s="30" t="str">
        <f t="shared" si="5"/>
        <v/>
      </c>
      <c r="L348" s="31">
        <f>IF(B348&lt;&gt;"Расход",0,IF(H348&lt;&gt;"",E348*H348,IFERROR(IF(VLOOKUP(D348,Категории!$A$3:$F$27,4,FALSE)="",0,E348*VLOOKUP(D348,Категории!$A$3:$F$27,4,FALSE)),0)))</f>
        <v>0</v>
      </c>
      <c r="M348" s="30" t="str">
        <f>IF(A348="","",IF(NOT(ISNUMBER(A348)),"ДАТА; ","")&amp;IF(NOT(ISNUMBER(E348)),"СУММА; ","")&amp;IF(AND(B348&lt;&gt;"",D348&lt;&gt;"",IFERROR(VLOOKUP(D348,Категории!$A$3:$B$27,2,FALSE),"")&lt;&gt;B348),"ТИП/КАТЕГОРИЯ; ","")&amp;IF(AND(B348="Доход",G348=""),"НЕТ № КВИТАНЦИИ; ","")&amp;IF(AND(B348="Расход",H348="",IFERROR(VLOOKUP(D348,Категории!$A$3:$D$27,4,FALSE),"")=""),"УКАЖИТЕ ДОЛЮ; ","")&amp;IF(COUNTIFS($A$5:$A$504,A348,$B$5:$B$504,B348,$C$5:$C$504,C348,$E$5:$E$504,E348)&gt;1,"ВОЗМОЖНЫЙ ДУБЛЬ; ","")&amp;IF(AND(A348&lt;&gt;"",A349&lt;&gt;"",A348&lt;A349),"ПОРЯДОК ДАТ; ",""))</f>
        <v/>
      </c>
      <c r="N348" s="30" t="str">
        <f>IF(A348="","",IF(Настройки_2026!$B$6="ДЕМО",1,IF(I348="ДЕМО",0,1)))</f>
        <v/>
      </c>
    </row>
    <row r="349" spans="1:14" x14ac:dyDescent="0.25">
      <c r="A349" s="26"/>
      <c r="B349" s="27"/>
      <c r="C349" s="27"/>
      <c r="D349" s="27"/>
      <c r="E349" s="28"/>
      <c r="F349" s="27"/>
      <c r="G349" s="27"/>
      <c r="H349" s="29"/>
      <c r="I349" s="27"/>
      <c r="J349" s="27"/>
      <c r="K349" s="30" t="str">
        <f t="shared" si="5"/>
        <v/>
      </c>
      <c r="L349" s="31">
        <f>IF(B349&lt;&gt;"Расход",0,IF(H349&lt;&gt;"",E349*H349,IFERROR(IF(VLOOKUP(D349,Категории!$A$3:$F$27,4,FALSE)="",0,E349*VLOOKUP(D349,Категории!$A$3:$F$27,4,FALSE)),0)))</f>
        <v>0</v>
      </c>
      <c r="M349" s="30" t="str">
        <f>IF(A349="","",IF(NOT(ISNUMBER(A349)),"ДАТА; ","")&amp;IF(NOT(ISNUMBER(E349)),"СУММА; ","")&amp;IF(AND(B349&lt;&gt;"",D349&lt;&gt;"",IFERROR(VLOOKUP(D349,Категории!$A$3:$B$27,2,FALSE),"")&lt;&gt;B349),"ТИП/КАТЕГОРИЯ; ","")&amp;IF(AND(B349="Доход",G349=""),"НЕТ № КВИТАНЦИИ; ","")&amp;IF(AND(B349="Расход",H349="",IFERROR(VLOOKUP(D349,Категории!$A$3:$D$27,4,FALSE),"")=""),"УКАЖИТЕ ДОЛЮ; ","")&amp;IF(COUNTIFS($A$5:$A$504,A349,$B$5:$B$504,B349,$C$5:$C$504,C349,$E$5:$E$504,E349)&gt;1,"ВОЗМОЖНЫЙ ДУБЛЬ; ","")&amp;IF(AND(A349&lt;&gt;"",A350&lt;&gt;"",A349&lt;A350),"ПОРЯДОК ДАТ; ",""))</f>
        <v/>
      </c>
      <c r="N349" s="30" t="str">
        <f>IF(A349="","",IF(Настройки_2026!$B$6="ДЕМО",1,IF(I349="ДЕМО",0,1)))</f>
        <v/>
      </c>
    </row>
    <row r="350" spans="1:14" x14ac:dyDescent="0.25">
      <c r="A350" s="26"/>
      <c r="B350" s="27"/>
      <c r="C350" s="27"/>
      <c r="D350" s="27"/>
      <c r="E350" s="28"/>
      <c r="F350" s="27"/>
      <c r="G350" s="27"/>
      <c r="H350" s="29"/>
      <c r="I350" s="27"/>
      <c r="J350" s="27"/>
      <c r="K350" s="30" t="str">
        <f t="shared" si="5"/>
        <v/>
      </c>
      <c r="L350" s="31">
        <f>IF(B350&lt;&gt;"Расход",0,IF(H350&lt;&gt;"",E350*H350,IFERROR(IF(VLOOKUP(D350,Категории!$A$3:$F$27,4,FALSE)="",0,E350*VLOOKUP(D350,Категории!$A$3:$F$27,4,FALSE)),0)))</f>
        <v>0</v>
      </c>
      <c r="M350" s="30" t="str">
        <f>IF(A350="","",IF(NOT(ISNUMBER(A350)),"ДАТА; ","")&amp;IF(NOT(ISNUMBER(E350)),"СУММА; ","")&amp;IF(AND(B350&lt;&gt;"",D350&lt;&gt;"",IFERROR(VLOOKUP(D350,Категории!$A$3:$B$27,2,FALSE),"")&lt;&gt;B350),"ТИП/КАТЕГОРИЯ; ","")&amp;IF(AND(B350="Доход",G350=""),"НЕТ № КВИТАНЦИИ; ","")&amp;IF(AND(B350="Расход",H350="",IFERROR(VLOOKUP(D350,Категории!$A$3:$D$27,4,FALSE),"")=""),"УКАЖИТЕ ДОЛЮ; ","")&amp;IF(COUNTIFS($A$5:$A$504,A350,$B$5:$B$504,B350,$C$5:$C$504,C350,$E$5:$E$504,E350)&gt;1,"ВОЗМОЖНЫЙ ДУБЛЬ; ","")&amp;IF(AND(A350&lt;&gt;"",A351&lt;&gt;"",A350&lt;A351),"ПОРЯДОК ДАТ; ",""))</f>
        <v/>
      </c>
      <c r="N350" s="30" t="str">
        <f>IF(A350="","",IF(Настройки_2026!$B$6="ДЕМО",1,IF(I350="ДЕМО",0,1)))</f>
        <v/>
      </c>
    </row>
    <row r="351" spans="1:14" x14ac:dyDescent="0.25">
      <c r="A351" s="26"/>
      <c r="B351" s="27"/>
      <c r="C351" s="27"/>
      <c r="D351" s="27"/>
      <c r="E351" s="28"/>
      <c r="F351" s="27"/>
      <c r="G351" s="27"/>
      <c r="H351" s="29"/>
      <c r="I351" s="27"/>
      <c r="J351" s="27"/>
      <c r="K351" s="30" t="str">
        <f t="shared" si="5"/>
        <v/>
      </c>
      <c r="L351" s="31">
        <f>IF(B351&lt;&gt;"Расход",0,IF(H351&lt;&gt;"",E351*H351,IFERROR(IF(VLOOKUP(D351,Категории!$A$3:$F$27,4,FALSE)="",0,E351*VLOOKUP(D351,Категории!$A$3:$F$27,4,FALSE)),0)))</f>
        <v>0</v>
      </c>
      <c r="M351" s="30" t="str">
        <f>IF(A351="","",IF(NOT(ISNUMBER(A351)),"ДАТА; ","")&amp;IF(NOT(ISNUMBER(E351)),"СУММА; ","")&amp;IF(AND(B351&lt;&gt;"",D351&lt;&gt;"",IFERROR(VLOOKUP(D351,Категории!$A$3:$B$27,2,FALSE),"")&lt;&gt;B351),"ТИП/КАТЕГОРИЯ; ","")&amp;IF(AND(B351="Доход",G351=""),"НЕТ № КВИТАНЦИИ; ","")&amp;IF(AND(B351="Расход",H351="",IFERROR(VLOOKUP(D351,Категории!$A$3:$D$27,4,FALSE),"")=""),"УКАЖИТЕ ДОЛЮ; ","")&amp;IF(COUNTIFS($A$5:$A$504,A351,$B$5:$B$504,B351,$C$5:$C$504,C351,$E$5:$E$504,E351)&gt;1,"ВОЗМОЖНЫЙ ДУБЛЬ; ","")&amp;IF(AND(A351&lt;&gt;"",A352&lt;&gt;"",A351&lt;A352),"ПОРЯДОК ДАТ; ",""))</f>
        <v/>
      </c>
      <c r="N351" s="30" t="str">
        <f>IF(A351="","",IF(Настройки_2026!$B$6="ДЕМО",1,IF(I351="ДЕМО",0,1)))</f>
        <v/>
      </c>
    </row>
    <row r="352" spans="1:14" x14ac:dyDescent="0.25">
      <c r="A352" s="26"/>
      <c r="B352" s="27"/>
      <c r="C352" s="27"/>
      <c r="D352" s="27"/>
      <c r="E352" s="28"/>
      <c r="F352" s="27"/>
      <c r="G352" s="27"/>
      <c r="H352" s="29"/>
      <c r="I352" s="27"/>
      <c r="J352" s="27"/>
      <c r="K352" s="30" t="str">
        <f t="shared" si="5"/>
        <v/>
      </c>
      <c r="L352" s="31">
        <f>IF(B352&lt;&gt;"Расход",0,IF(H352&lt;&gt;"",E352*H352,IFERROR(IF(VLOOKUP(D352,Категории!$A$3:$F$27,4,FALSE)="",0,E352*VLOOKUP(D352,Категории!$A$3:$F$27,4,FALSE)),0)))</f>
        <v>0</v>
      </c>
      <c r="M352" s="30" t="str">
        <f>IF(A352="","",IF(NOT(ISNUMBER(A352)),"ДАТА; ","")&amp;IF(NOT(ISNUMBER(E352)),"СУММА; ","")&amp;IF(AND(B352&lt;&gt;"",D352&lt;&gt;"",IFERROR(VLOOKUP(D352,Категории!$A$3:$B$27,2,FALSE),"")&lt;&gt;B352),"ТИП/КАТЕГОРИЯ; ","")&amp;IF(AND(B352="Доход",G352=""),"НЕТ № КВИТАНЦИИ; ","")&amp;IF(AND(B352="Расход",H352="",IFERROR(VLOOKUP(D352,Категории!$A$3:$D$27,4,FALSE),"")=""),"УКАЖИТЕ ДОЛЮ; ","")&amp;IF(COUNTIFS($A$5:$A$504,A352,$B$5:$B$504,B352,$C$5:$C$504,C352,$E$5:$E$504,E352)&gt;1,"ВОЗМОЖНЫЙ ДУБЛЬ; ","")&amp;IF(AND(A352&lt;&gt;"",A353&lt;&gt;"",A352&lt;A353),"ПОРЯДОК ДАТ; ",""))</f>
        <v/>
      </c>
      <c r="N352" s="30" t="str">
        <f>IF(A352="","",IF(Настройки_2026!$B$6="ДЕМО",1,IF(I352="ДЕМО",0,1)))</f>
        <v/>
      </c>
    </row>
    <row r="353" spans="1:14" x14ac:dyDescent="0.25">
      <c r="A353" s="26"/>
      <c r="B353" s="27"/>
      <c r="C353" s="27"/>
      <c r="D353" s="27"/>
      <c r="E353" s="28"/>
      <c r="F353" s="27"/>
      <c r="G353" s="27"/>
      <c r="H353" s="29"/>
      <c r="I353" s="27"/>
      <c r="J353" s="27"/>
      <c r="K353" s="30" t="str">
        <f t="shared" si="5"/>
        <v/>
      </c>
      <c r="L353" s="31">
        <f>IF(B353&lt;&gt;"Расход",0,IF(H353&lt;&gt;"",E353*H353,IFERROR(IF(VLOOKUP(D353,Категории!$A$3:$F$27,4,FALSE)="",0,E353*VLOOKUP(D353,Категории!$A$3:$F$27,4,FALSE)),0)))</f>
        <v>0</v>
      </c>
      <c r="M353" s="30" t="str">
        <f>IF(A353="","",IF(NOT(ISNUMBER(A353)),"ДАТА; ","")&amp;IF(NOT(ISNUMBER(E353)),"СУММА; ","")&amp;IF(AND(B353&lt;&gt;"",D353&lt;&gt;"",IFERROR(VLOOKUP(D353,Категории!$A$3:$B$27,2,FALSE),"")&lt;&gt;B353),"ТИП/КАТЕГОРИЯ; ","")&amp;IF(AND(B353="Доход",G353=""),"НЕТ № КВИТАНЦИИ; ","")&amp;IF(AND(B353="Расход",H353="",IFERROR(VLOOKUP(D353,Категории!$A$3:$D$27,4,FALSE),"")=""),"УКАЖИТЕ ДОЛЮ; ","")&amp;IF(COUNTIFS($A$5:$A$504,A353,$B$5:$B$504,B353,$C$5:$C$504,C353,$E$5:$E$504,E353)&gt;1,"ВОЗМОЖНЫЙ ДУБЛЬ; ","")&amp;IF(AND(A353&lt;&gt;"",A354&lt;&gt;"",A353&lt;A354),"ПОРЯДОК ДАТ; ",""))</f>
        <v/>
      </c>
      <c r="N353" s="30" t="str">
        <f>IF(A353="","",IF(Настройки_2026!$B$6="ДЕМО",1,IF(I353="ДЕМО",0,1)))</f>
        <v/>
      </c>
    </row>
    <row r="354" spans="1:14" x14ac:dyDescent="0.25">
      <c r="A354" s="26"/>
      <c r="B354" s="27"/>
      <c r="C354" s="27"/>
      <c r="D354" s="27"/>
      <c r="E354" s="28"/>
      <c r="F354" s="27"/>
      <c r="G354" s="27"/>
      <c r="H354" s="29"/>
      <c r="I354" s="27"/>
      <c r="J354" s="27"/>
      <c r="K354" s="30" t="str">
        <f t="shared" si="5"/>
        <v/>
      </c>
      <c r="L354" s="31">
        <f>IF(B354&lt;&gt;"Расход",0,IF(H354&lt;&gt;"",E354*H354,IFERROR(IF(VLOOKUP(D354,Категории!$A$3:$F$27,4,FALSE)="",0,E354*VLOOKUP(D354,Категории!$A$3:$F$27,4,FALSE)),0)))</f>
        <v>0</v>
      </c>
      <c r="M354" s="30" t="str">
        <f>IF(A354="","",IF(NOT(ISNUMBER(A354)),"ДАТА; ","")&amp;IF(NOT(ISNUMBER(E354)),"СУММА; ","")&amp;IF(AND(B354&lt;&gt;"",D354&lt;&gt;"",IFERROR(VLOOKUP(D354,Категории!$A$3:$B$27,2,FALSE),"")&lt;&gt;B354),"ТИП/КАТЕГОРИЯ; ","")&amp;IF(AND(B354="Доход",G354=""),"НЕТ № КВИТАНЦИИ; ","")&amp;IF(AND(B354="Расход",H354="",IFERROR(VLOOKUP(D354,Категории!$A$3:$D$27,4,FALSE),"")=""),"УКАЖИТЕ ДОЛЮ; ","")&amp;IF(COUNTIFS($A$5:$A$504,A354,$B$5:$B$504,B354,$C$5:$C$504,C354,$E$5:$E$504,E354)&gt;1,"ВОЗМОЖНЫЙ ДУБЛЬ; ","")&amp;IF(AND(A354&lt;&gt;"",A355&lt;&gt;"",A354&lt;A355),"ПОРЯДОК ДАТ; ",""))</f>
        <v/>
      </c>
      <c r="N354" s="30" t="str">
        <f>IF(A354="","",IF(Настройки_2026!$B$6="ДЕМО",1,IF(I354="ДЕМО",0,1)))</f>
        <v/>
      </c>
    </row>
    <row r="355" spans="1:14" x14ac:dyDescent="0.25">
      <c r="A355" s="26"/>
      <c r="B355" s="27"/>
      <c r="C355" s="27"/>
      <c r="D355" s="27"/>
      <c r="E355" s="28"/>
      <c r="F355" s="27"/>
      <c r="G355" s="27"/>
      <c r="H355" s="29"/>
      <c r="I355" s="27"/>
      <c r="J355" s="27"/>
      <c r="K355" s="30" t="str">
        <f t="shared" si="5"/>
        <v/>
      </c>
      <c r="L355" s="31">
        <f>IF(B355&lt;&gt;"Расход",0,IF(H355&lt;&gt;"",E355*H355,IFERROR(IF(VLOOKUP(D355,Категории!$A$3:$F$27,4,FALSE)="",0,E355*VLOOKUP(D355,Категории!$A$3:$F$27,4,FALSE)),0)))</f>
        <v>0</v>
      </c>
      <c r="M355" s="30" t="str">
        <f>IF(A355="","",IF(NOT(ISNUMBER(A355)),"ДАТА; ","")&amp;IF(NOT(ISNUMBER(E355)),"СУММА; ","")&amp;IF(AND(B355&lt;&gt;"",D355&lt;&gt;"",IFERROR(VLOOKUP(D355,Категории!$A$3:$B$27,2,FALSE),"")&lt;&gt;B355),"ТИП/КАТЕГОРИЯ; ","")&amp;IF(AND(B355="Доход",G355=""),"НЕТ № КВИТАНЦИИ; ","")&amp;IF(AND(B355="Расход",H355="",IFERROR(VLOOKUP(D355,Категории!$A$3:$D$27,4,FALSE),"")=""),"УКАЖИТЕ ДОЛЮ; ","")&amp;IF(COUNTIFS($A$5:$A$504,A355,$B$5:$B$504,B355,$C$5:$C$504,C355,$E$5:$E$504,E355)&gt;1,"ВОЗМОЖНЫЙ ДУБЛЬ; ","")&amp;IF(AND(A355&lt;&gt;"",A356&lt;&gt;"",A355&lt;A356),"ПОРЯДОК ДАТ; ",""))</f>
        <v/>
      </c>
      <c r="N355" s="30" t="str">
        <f>IF(A355="","",IF(Настройки_2026!$B$6="ДЕМО",1,IF(I355="ДЕМО",0,1)))</f>
        <v/>
      </c>
    </row>
    <row r="356" spans="1:14" x14ac:dyDescent="0.25">
      <c r="A356" s="26"/>
      <c r="B356" s="27"/>
      <c r="C356" s="27"/>
      <c r="D356" s="27"/>
      <c r="E356" s="28"/>
      <c r="F356" s="27"/>
      <c r="G356" s="27"/>
      <c r="H356" s="29"/>
      <c r="I356" s="27"/>
      <c r="J356" s="27"/>
      <c r="K356" s="30" t="str">
        <f t="shared" si="5"/>
        <v/>
      </c>
      <c r="L356" s="31">
        <f>IF(B356&lt;&gt;"Расход",0,IF(H356&lt;&gt;"",E356*H356,IFERROR(IF(VLOOKUP(D356,Категории!$A$3:$F$27,4,FALSE)="",0,E356*VLOOKUP(D356,Категории!$A$3:$F$27,4,FALSE)),0)))</f>
        <v>0</v>
      </c>
      <c r="M356" s="30" t="str">
        <f>IF(A356="","",IF(NOT(ISNUMBER(A356)),"ДАТА; ","")&amp;IF(NOT(ISNUMBER(E356)),"СУММА; ","")&amp;IF(AND(B356&lt;&gt;"",D356&lt;&gt;"",IFERROR(VLOOKUP(D356,Категории!$A$3:$B$27,2,FALSE),"")&lt;&gt;B356),"ТИП/КАТЕГОРИЯ; ","")&amp;IF(AND(B356="Доход",G356=""),"НЕТ № КВИТАНЦИИ; ","")&amp;IF(AND(B356="Расход",H356="",IFERROR(VLOOKUP(D356,Категории!$A$3:$D$27,4,FALSE),"")=""),"УКАЖИТЕ ДОЛЮ; ","")&amp;IF(COUNTIFS($A$5:$A$504,A356,$B$5:$B$504,B356,$C$5:$C$504,C356,$E$5:$E$504,E356)&gt;1,"ВОЗМОЖНЫЙ ДУБЛЬ; ","")&amp;IF(AND(A356&lt;&gt;"",A357&lt;&gt;"",A356&lt;A357),"ПОРЯДОК ДАТ; ",""))</f>
        <v/>
      </c>
      <c r="N356" s="30" t="str">
        <f>IF(A356="","",IF(Настройки_2026!$B$6="ДЕМО",1,IF(I356="ДЕМО",0,1)))</f>
        <v/>
      </c>
    </row>
    <row r="357" spans="1:14" x14ac:dyDescent="0.25">
      <c r="A357" s="26"/>
      <c r="B357" s="27"/>
      <c r="C357" s="27"/>
      <c r="D357" s="27"/>
      <c r="E357" s="28"/>
      <c r="F357" s="27"/>
      <c r="G357" s="27"/>
      <c r="H357" s="29"/>
      <c r="I357" s="27"/>
      <c r="J357" s="27"/>
      <c r="K357" s="30" t="str">
        <f t="shared" si="5"/>
        <v/>
      </c>
      <c r="L357" s="31">
        <f>IF(B357&lt;&gt;"Расход",0,IF(H357&lt;&gt;"",E357*H357,IFERROR(IF(VLOOKUP(D357,Категории!$A$3:$F$27,4,FALSE)="",0,E357*VLOOKUP(D357,Категории!$A$3:$F$27,4,FALSE)),0)))</f>
        <v>0</v>
      </c>
      <c r="M357" s="30" t="str">
        <f>IF(A357="","",IF(NOT(ISNUMBER(A357)),"ДАТА; ","")&amp;IF(NOT(ISNUMBER(E357)),"СУММА; ","")&amp;IF(AND(B357&lt;&gt;"",D357&lt;&gt;"",IFERROR(VLOOKUP(D357,Категории!$A$3:$B$27,2,FALSE),"")&lt;&gt;B357),"ТИП/КАТЕГОРИЯ; ","")&amp;IF(AND(B357="Доход",G357=""),"НЕТ № КВИТАНЦИИ; ","")&amp;IF(AND(B357="Расход",H357="",IFERROR(VLOOKUP(D357,Категории!$A$3:$D$27,4,FALSE),"")=""),"УКАЖИТЕ ДОЛЮ; ","")&amp;IF(COUNTIFS($A$5:$A$504,A357,$B$5:$B$504,B357,$C$5:$C$504,C357,$E$5:$E$504,E357)&gt;1,"ВОЗМОЖНЫЙ ДУБЛЬ; ","")&amp;IF(AND(A357&lt;&gt;"",A358&lt;&gt;"",A357&lt;A358),"ПОРЯДОК ДАТ; ",""))</f>
        <v/>
      </c>
      <c r="N357" s="30" t="str">
        <f>IF(A357="","",IF(Настройки_2026!$B$6="ДЕМО",1,IF(I357="ДЕМО",0,1)))</f>
        <v/>
      </c>
    </row>
    <row r="358" spans="1:14" x14ac:dyDescent="0.25">
      <c r="A358" s="26"/>
      <c r="B358" s="27"/>
      <c r="C358" s="27"/>
      <c r="D358" s="27"/>
      <c r="E358" s="28"/>
      <c r="F358" s="27"/>
      <c r="G358" s="27"/>
      <c r="H358" s="29"/>
      <c r="I358" s="27"/>
      <c r="J358" s="27"/>
      <c r="K358" s="30" t="str">
        <f t="shared" si="5"/>
        <v/>
      </c>
      <c r="L358" s="31">
        <f>IF(B358&lt;&gt;"Расход",0,IF(H358&lt;&gt;"",E358*H358,IFERROR(IF(VLOOKUP(D358,Категории!$A$3:$F$27,4,FALSE)="",0,E358*VLOOKUP(D358,Категории!$A$3:$F$27,4,FALSE)),0)))</f>
        <v>0</v>
      </c>
      <c r="M358" s="30" t="str">
        <f>IF(A358="","",IF(NOT(ISNUMBER(A358)),"ДАТА; ","")&amp;IF(NOT(ISNUMBER(E358)),"СУММА; ","")&amp;IF(AND(B358&lt;&gt;"",D358&lt;&gt;"",IFERROR(VLOOKUP(D358,Категории!$A$3:$B$27,2,FALSE),"")&lt;&gt;B358),"ТИП/КАТЕГОРИЯ; ","")&amp;IF(AND(B358="Доход",G358=""),"НЕТ № КВИТАНЦИИ; ","")&amp;IF(AND(B358="Расход",H358="",IFERROR(VLOOKUP(D358,Категории!$A$3:$D$27,4,FALSE),"")=""),"УКАЖИТЕ ДОЛЮ; ","")&amp;IF(COUNTIFS($A$5:$A$504,A358,$B$5:$B$504,B358,$C$5:$C$504,C358,$E$5:$E$504,E358)&gt;1,"ВОЗМОЖНЫЙ ДУБЛЬ; ","")&amp;IF(AND(A358&lt;&gt;"",A359&lt;&gt;"",A358&lt;A359),"ПОРЯДОК ДАТ; ",""))</f>
        <v/>
      </c>
      <c r="N358" s="30" t="str">
        <f>IF(A358="","",IF(Настройки_2026!$B$6="ДЕМО",1,IF(I358="ДЕМО",0,1)))</f>
        <v/>
      </c>
    </row>
    <row r="359" spans="1:14" x14ac:dyDescent="0.25">
      <c r="A359" s="26"/>
      <c r="B359" s="27"/>
      <c r="C359" s="27"/>
      <c r="D359" s="27"/>
      <c r="E359" s="28"/>
      <c r="F359" s="27"/>
      <c r="G359" s="27"/>
      <c r="H359" s="29"/>
      <c r="I359" s="27"/>
      <c r="J359" s="27"/>
      <c r="K359" s="30" t="str">
        <f t="shared" si="5"/>
        <v/>
      </c>
      <c r="L359" s="31">
        <f>IF(B359&lt;&gt;"Расход",0,IF(H359&lt;&gt;"",E359*H359,IFERROR(IF(VLOOKUP(D359,Категории!$A$3:$F$27,4,FALSE)="",0,E359*VLOOKUP(D359,Категории!$A$3:$F$27,4,FALSE)),0)))</f>
        <v>0</v>
      </c>
      <c r="M359" s="30" t="str">
        <f>IF(A359="","",IF(NOT(ISNUMBER(A359)),"ДАТА; ","")&amp;IF(NOT(ISNUMBER(E359)),"СУММА; ","")&amp;IF(AND(B359&lt;&gt;"",D359&lt;&gt;"",IFERROR(VLOOKUP(D359,Категории!$A$3:$B$27,2,FALSE),"")&lt;&gt;B359),"ТИП/КАТЕГОРИЯ; ","")&amp;IF(AND(B359="Доход",G359=""),"НЕТ № КВИТАНЦИИ; ","")&amp;IF(AND(B359="Расход",H359="",IFERROR(VLOOKUP(D359,Категории!$A$3:$D$27,4,FALSE),"")=""),"УКАЖИТЕ ДОЛЮ; ","")&amp;IF(COUNTIFS($A$5:$A$504,A359,$B$5:$B$504,B359,$C$5:$C$504,C359,$E$5:$E$504,E359)&gt;1,"ВОЗМОЖНЫЙ ДУБЛЬ; ","")&amp;IF(AND(A359&lt;&gt;"",A360&lt;&gt;"",A359&lt;A360),"ПОРЯДОК ДАТ; ",""))</f>
        <v/>
      </c>
      <c r="N359" s="30" t="str">
        <f>IF(A359="","",IF(Настройки_2026!$B$6="ДЕМО",1,IF(I359="ДЕМО",0,1)))</f>
        <v/>
      </c>
    </row>
    <row r="360" spans="1:14" x14ac:dyDescent="0.25">
      <c r="A360" s="26"/>
      <c r="B360" s="27"/>
      <c r="C360" s="27"/>
      <c r="D360" s="27"/>
      <c r="E360" s="28"/>
      <c r="F360" s="27"/>
      <c r="G360" s="27"/>
      <c r="H360" s="29"/>
      <c r="I360" s="27"/>
      <c r="J360" s="27"/>
      <c r="K360" s="30" t="str">
        <f t="shared" si="5"/>
        <v/>
      </c>
      <c r="L360" s="31">
        <f>IF(B360&lt;&gt;"Расход",0,IF(H360&lt;&gt;"",E360*H360,IFERROR(IF(VLOOKUP(D360,Категории!$A$3:$F$27,4,FALSE)="",0,E360*VLOOKUP(D360,Категории!$A$3:$F$27,4,FALSE)),0)))</f>
        <v>0</v>
      </c>
      <c r="M360" s="30" t="str">
        <f>IF(A360="","",IF(NOT(ISNUMBER(A360)),"ДАТА; ","")&amp;IF(NOT(ISNUMBER(E360)),"СУММА; ","")&amp;IF(AND(B360&lt;&gt;"",D360&lt;&gt;"",IFERROR(VLOOKUP(D360,Категории!$A$3:$B$27,2,FALSE),"")&lt;&gt;B360),"ТИП/КАТЕГОРИЯ; ","")&amp;IF(AND(B360="Доход",G360=""),"НЕТ № КВИТАНЦИИ; ","")&amp;IF(AND(B360="Расход",H360="",IFERROR(VLOOKUP(D360,Категории!$A$3:$D$27,4,FALSE),"")=""),"УКАЖИТЕ ДОЛЮ; ","")&amp;IF(COUNTIFS($A$5:$A$504,A360,$B$5:$B$504,B360,$C$5:$C$504,C360,$E$5:$E$504,E360)&gt;1,"ВОЗМОЖНЫЙ ДУБЛЬ; ","")&amp;IF(AND(A360&lt;&gt;"",A361&lt;&gt;"",A360&lt;A361),"ПОРЯДОК ДАТ; ",""))</f>
        <v/>
      </c>
      <c r="N360" s="30" t="str">
        <f>IF(A360="","",IF(Настройки_2026!$B$6="ДЕМО",1,IF(I360="ДЕМО",0,1)))</f>
        <v/>
      </c>
    </row>
    <row r="361" spans="1:14" x14ac:dyDescent="0.25">
      <c r="A361" s="26"/>
      <c r="B361" s="27"/>
      <c r="C361" s="27"/>
      <c r="D361" s="27"/>
      <c r="E361" s="28"/>
      <c r="F361" s="27"/>
      <c r="G361" s="27"/>
      <c r="H361" s="29"/>
      <c r="I361" s="27"/>
      <c r="J361" s="27"/>
      <c r="K361" s="30" t="str">
        <f t="shared" si="5"/>
        <v/>
      </c>
      <c r="L361" s="31">
        <f>IF(B361&lt;&gt;"Расход",0,IF(H361&lt;&gt;"",E361*H361,IFERROR(IF(VLOOKUP(D361,Категории!$A$3:$F$27,4,FALSE)="",0,E361*VLOOKUP(D361,Категории!$A$3:$F$27,4,FALSE)),0)))</f>
        <v>0</v>
      </c>
      <c r="M361" s="30" t="str">
        <f>IF(A361="","",IF(NOT(ISNUMBER(A361)),"ДАТА; ","")&amp;IF(NOT(ISNUMBER(E361)),"СУММА; ","")&amp;IF(AND(B361&lt;&gt;"",D361&lt;&gt;"",IFERROR(VLOOKUP(D361,Категории!$A$3:$B$27,2,FALSE),"")&lt;&gt;B361),"ТИП/КАТЕГОРИЯ; ","")&amp;IF(AND(B361="Доход",G361=""),"НЕТ № КВИТАНЦИИ; ","")&amp;IF(AND(B361="Расход",H361="",IFERROR(VLOOKUP(D361,Категории!$A$3:$D$27,4,FALSE),"")=""),"УКАЖИТЕ ДОЛЮ; ","")&amp;IF(COUNTIFS($A$5:$A$504,A361,$B$5:$B$504,B361,$C$5:$C$504,C361,$E$5:$E$504,E361)&gt;1,"ВОЗМОЖНЫЙ ДУБЛЬ; ","")&amp;IF(AND(A361&lt;&gt;"",A362&lt;&gt;"",A361&lt;A362),"ПОРЯДОК ДАТ; ",""))</f>
        <v/>
      </c>
      <c r="N361" s="30" t="str">
        <f>IF(A361="","",IF(Настройки_2026!$B$6="ДЕМО",1,IF(I361="ДЕМО",0,1)))</f>
        <v/>
      </c>
    </row>
    <row r="362" spans="1:14" x14ac:dyDescent="0.25">
      <c r="A362" s="26"/>
      <c r="B362" s="27"/>
      <c r="C362" s="27"/>
      <c r="D362" s="27"/>
      <c r="E362" s="28"/>
      <c r="F362" s="27"/>
      <c r="G362" s="27"/>
      <c r="H362" s="29"/>
      <c r="I362" s="27"/>
      <c r="J362" s="27"/>
      <c r="K362" s="30" t="str">
        <f t="shared" si="5"/>
        <v/>
      </c>
      <c r="L362" s="31">
        <f>IF(B362&lt;&gt;"Расход",0,IF(H362&lt;&gt;"",E362*H362,IFERROR(IF(VLOOKUP(D362,Категории!$A$3:$F$27,4,FALSE)="",0,E362*VLOOKUP(D362,Категории!$A$3:$F$27,4,FALSE)),0)))</f>
        <v>0</v>
      </c>
      <c r="M362" s="30" t="str">
        <f>IF(A362="","",IF(NOT(ISNUMBER(A362)),"ДАТА; ","")&amp;IF(NOT(ISNUMBER(E362)),"СУММА; ","")&amp;IF(AND(B362&lt;&gt;"",D362&lt;&gt;"",IFERROR(VLOOKUP(D362,Категории!$A$3:$B$27,2,FALSE),"")&lt;&gt;B362),"ТИП/КАТЕГОРИЯ; ","")&amp;IF(AND(B362="Доход",G362=""),"НЕТ № КВИТАНЦИИ; ","")&amp;IF(AND(B362="Расход",H362="",IFERROR(VLOOKUP(D362,Категории!$A$3:$D$27,4,FALSE),"")=""),"УКАЖИТЕ ДОЛЮ; ","")&amp;IF(COUNTIFS($A$5:$A$504,A362,$B$5:$B$504,B362,$C$5:$C$504,C362,$E$5:$E$504,E362)&gt;1,"ВОЗМОЖНЫЙ ДУБЛЬ; ","")&amp;IF(AND(A362&lt;&gt;"",A363&lt;&gt;"",A362&lt;A363),"ПОРЯДОК ДАТ; ",""))</f>
        <v/>
      </c>
      <c r="N362" s="30" t="str">
        <f>IF(A362="","",IF(Настройки_2026!$B$6="ДЕМО",1,IF(I362="ДЕМО",0,1)))</f>
        <v/>
      </c>
    </row>
    <row r="363" spans="1:14" x14ac:dyDescent="0.25">
      <c r="A363" s="26"/>
      <c r="B363" s="27"/>
      <c r="C363" s="27"/>
      <c r="D363" s="27"/>
      <c r="E363" s="28"/>
      <c r="F363" s="27"/>
      <c r="G363" s="27"/>
      <c r="H363" s="29"/>
      <c r="I363" s="27"/>
      <c r="J363" s="27"/>
      <c r="K363" s="30" t="str">
        <f t="shared" si="5"/>
        <v/>
      </c>
      <c r="L363" s="31">
        <f>IF(B363&lt;&gt;"Расход",0,IF(H363&lt;&gt;"",E363*H363,IFERROR(IF(VLOOKUP(D363,Категории!$A$3:$F$27,4,FALSE)="",0,E363*VLOOKUP(D363,Категории!$A$3:$F$27,4,FALSE)),0)))</f>
        <v>0</v>
      </c>
      <c r="M363" s="30" t="str">
        <f>IF(A363="","",IF(NOT(ISNUMBER(A363)),"ДАТА; ","")&amp;IF(NOT(ISNUMBER(E363)),"СУММА; ","")&amp;IF(AND(B363&lt;&gt;"",D363&lt;&gt;"",IFERROR(VLOOKUP(D363,Категории!$A$3:$B$27,2,FALSE),"")&lt;&gt;B363),"ТИП/КАТЕГОРИЯ; ","")&amp;IF(AND(B363="Доход",G363=""),"НЕТ № КВИТАНЦИИ; ","")&amp;IF(AND(B363="Расход",H363="",IFERROR(VLOOKUP(D363,Категории!$A$3:$D$27,4,FALSE),"")=""),"УКАЖИТЕ ДОЛЮ; ","")&amp;IF(COUNTIFS($A$5:$A$504,A363,$B$5:$B$504,B363,$C$5:$C$504,C363,$E$5:$E$504,E363)&gt;1,"ВОЗМОЖНЫЙ ДУБЛЬ; ","")&amp;IF(AND(A363&lt;&gt;"",A364&lt;&gt;"",A363&lt;A364),"ПОРЯДОК ДАТ; ",""))</f>
        <v/>
      </c>
      <c r="N363" s="30" t="str">
        <f>IF(A363="","",IF(Настройки_2026!$B$6="ДЕМО",1,IF(I363="ДЕМО",0,1)))</f>
        <v/>
      </c>
    </row>
    <row r="364" spans="1:14" x14ac:dyDescent="0.25">
      <c r="A364" s="26"/>
      <c r="B364" s="27"/>
      <c r="C364" s="27"/>
      <c r="D364" s="27"/>
      <c r="E364" s="28"/>
      <c r="F364" s="27"/>
      <c r="G364" s="27"/>
      <c r="H364" s="29"/>
      <c r="I364" s="27"/>
      <c r="J364" s="27"/>
      <c r="K364" s="30" t="str">
        <f t="shared" si="5"/>
        <v/>
      </c>
      <c r="L364" s="31">
        <f>IF(B364&lt;&gt;"Расход",0,IF(H364&lt;&gt;"",E364*H364,IFERROR(IF(VLOOKUP(D364,Категории!$A$3:$F$27,4,FALSE)="",0,E364*VLOOKUP(D364,Категории!$A$3:$F$27,4,FALSE)),0)))</f>
        <v>0</v>
      </c>
      <c r="M364" s="30" t="str">
        <f>IF(A364="","",IF(NOT(ISNUMBER(A364)),"ДАТА; ","")&amp;IF(NOT(ISNUMBER(E364)),"СУММА; ","")&amp;IF(AND(B364&lt;&gt;"",D364&lt;&gt;"",IFERROR(VLOOKUP(D364,Категории!$A$3:$B$27,2,FALSE),"")&lt;&gt;B364),"ТИП/КАТЕГОРИЯ; ","")&amp;IF(AND(B364="Доход",G364=""),"НЕТ № КВИТАНЦИИ; ","")&amp;IF(AND(B364="Расход",H364="",IFERROR(VLOOKUP(D364,Категории!$A$3:$D$27,4,FALSE),"")=""),"УКАЖИТЕ ДОЛЮ; ","")&amp;IF(COUNTIFS($A$5:$A$504,A364,$B$5:$B$504,B364,$C$5:$C$504,C364,$E$5:$E$504,E364)&gt;1,"ВОЗМОЖНЫЙ ДУБЛЬ; ","")&amp;IF(AND(A364&lt;&gt;"",A365&lt;&gt;"",A364&lt;A365),"ПОРЯДОК ДАТ; ",""))</f>
        <v/>
      </c>
      <c r="N364" s="30" t="str">
        <f>IF(A364="","",IF(Настройки_2026!$B$6="ДЕМО",1,IF(I364="ДЕМО",0,1)))</f>
        <v/>
      </c>
    </row>
    <row r="365" spans="1:14" x14ac:dyDescent="0.25">
      <c r="A365" s="26"/>
      <c r="B365" s="27"/>
      <c r="C365" s="27"/>
      <c r="D365" s="27"/>
      <c r="E365" s="28"/>
      <c r="F365" s="27"/>
      <c r="G365" s="27"/>
      <c r="H365" s="29"/>
      <c r="I365" s="27"/>
      <c r="J365" s="27"/>
      <c r="K365" s="30" t="str">
        <f t="shared" si="5"/>
        <v/>
      </c>
      <c r="L365" s="31">
        <f>IF(B365&lt;&gt;"Расход",0,IF(H365&lt;&gt;"",E365*H365,IFERROR(IF(VLOOKUP(D365,Категории!$A$3:$F$27,4,FALSE)="",0,E365*VLOOKUP(D365,Категории!$A$3:$F$27,4,FALSE)),0)))</f>
        <v>0</v>
      </c>
      <c r="M365" s="30" t="str">
        <f>IF(A365="","",IF(NOT(ISNUMBER(A365)),"ДАТА; ","")&amp;IF(NOT(ISNUMBER(E365)),"СУММА; ","")&amp;IF(AND(B365&lt;&gt;"",D365&lt;&gt;"",IFERROR(VLOOKUP(D365,Категории!$A$3:$B$27,2,FALSE),"")&lt;&gt;B365),"ТИП/КАТЕГОРИЯ; ","")&amp;IF(AND(B365="Доход",G365=""),"НЕТ № КВИТАНЦИИ; ","")&amp;IF(AND(B365="Расход",H365="",IFERROR(VLOOKUP(D365,Категории!$A$3:$D$27,4,FALSE),"")=""),"УКАЖИТЕ ДОЛЮ; ","")&amp;IF(COUNTIFS($A$5:$A$504,A365,$B$5:$B$504,B365,$C$5:$C$504,C365,$E$5:$E$504,E365)&gt;1,"ВОЗМОЖНЫЙ ДУБЛЬ; ","")&amp;IF(AND(A365&lt;&gt;"",A366&lt;&gt;"",A365&lt;A366),"ПОРЯДОК ДАТ; ",""))</f>
        <v/>
      </c>
      <c r="N365" s="30" t="str">
        <f>IF(A365="","",IF(Настройки_2026!$B$6="ДЕМО",1,IF(I365="ДЕМО",0,1)))</f>
        <v/>
      </c>
    </row>
    <row r="366" spans="1:14" x14ac:dyDescent="0.25">
      <c r="A366" s="26"/>
      <c r="B366" s="27"/>
      <c r="C366" s="27"/>
      <c r="D366" s="27"/>
      <c r="E366" s="28"/>
      <c r="F366" s="27"/>
      <c r="G366" s="27"/>
      <c r="H366" s="29"/>
      <c r="I366" s="27"/>
      <c r="J366" s="27"/>
      <c r="K366" s="30" t="str">
        <f t="shared" si="5"/>
        <v/>
      </c>
      <c r="L366" s="31">
        <f>IF(B366&lt;&gt;"Расход",0,IF(H366&lt;&gt;"",E366*H366,IFERROR(IF(VLOOKUP(D366,Категории!$A$3:$F$27,4,FALSE)="",0,E366*VLOOKUP(D366,Категории!$A$3:$F$27,4,FALSE)),0)))</f>
        <v>0</v>
      </c>
      <c r="M366" s="30" t="str">
        <f>IF(A366="","",IF(NOT(ISNUMBER(A366)),"ДАТА; ","")&amp;IF(NOT(ISNUMBER(E366)),"СУММА; ","")&amp;IF(AND(B366&lt;&gt;"",D366&lt;&gt;"",IFERROR(VLOOKUP(D366,Категории!$A$3:$B$27,2,FALSE),"")&lt;&gt;B366),"ТИП/КАТЕГОРИЯ; ","")&amp;IF(AND(B366="Доход",G366=""),"НЕТ № КВИТАНЦИИ; ","")&amp;IF(AND(B366="Расход",H366="",IFERROR(VLOOKUP(D366,Категории!$A$3:$D$27,4,FALSE),"")=""),"УКАЖИТЕ ДОЛЮ; ","")&amp;IF(COUNTIFS($A$5:$A$504,A366,$B$5:$B$504,B366,$C$5:$C$504,C366,$E$5:$E$504,E366)&gt;1,"ВОЗМОЖНЫЙ ДУБЛЬ; ","")&amp;IF(AND(A366&lt;&gt;"",A367&lt;&gt;"",A366&lt;A367),"ПОРЯДОК ДАТ; ",""))</f>
        <v/>
      </c>
      <c r="N366" s="30" t="str">
        <f>IF(A366="","",IF(Настройки_2026!$B$6="ДЕМО",1,IF(I366="ДЕМО",0,1)))</f>
        <v/>
      </c>
    </row>
    <row r="367" spans="1:14" x14ac:dyDescent="0.25">
      <c r="A367" s="26"/>
      <c r="B367" s="27"/>
      <c r="C367" s="27"/>
      <c r="D367" s="27"/>
      <c r="E367" s="28"/>
      <c r="F367" s="27"/>
      <c r="G367" s="27"/>
      <c r="H367" s="29"/>
      <c r="I367" s="27"/>
      <c r="J367" s="27"/>
      <c r="K367" s="30" t="str">
        <f t="shared" si="5"/>
        <v/>
      </c>
      <c r="L367" s="31">
        <f>IF(B367&lt;&gt;"Расход",0,IF(H367&lt;&gt;"",E367*H367,IFERROR(IF(VLOOKUP(D367,Категории!$A$3:$F$27,4,FALSE)="",0,E367*VLOOKUP(D367,Категории!$A$3:$F$27,4,FALSE)),0)))</f>
        <v>0</v>
      </c>
      <c r="M367" s="30" t="str">
        <f>IF(A367="","",IF(NOT(ISNUMBER(A367)),"ДАТА; ","")&amp;IF(NOT(ISNUMBER(E367)),"СУММА; ","")&amp;IF(AND(B367&lt;&gt;"",D367&lt;&gt;"",IFERROR(VLOOKUP(D367,Категории!$A$3:$B$27,2,FALSE),"")&lt;&gt;B367),"ТИП/КАТЕГОРИЯ; ","")&amp;IF(AND(B367="Доход",G367=""),"НЕТ № КВИТАНЦИИ; ","")&amp;IF(AND(B367="Расход",H367="",IFERROR(VLOOKUP(D367,Категории!$A$3:$D$27,4,FALSE),"")=""),"УКАЖИТЕ ДОЛЮ; ","")&amp;IF(COUNTIFS($A$5:$A$504,A367,$B$5:$B$504,B367,$C$5:$C$504,C367,$E$5:$E$504,E367)&gt;1,"ВОЗМОЖНЫЙ ДУБЛЬ; ","")&amp;IF(AND(A367&lt;&gt;"",A368&lt;&gt;"",A367&lt;A368),"ПОРЯДОК ДАТ; ",""))</f>
        <v/>
      </c>
      <c r="N367" s="30" t="str">
        <f>IF(A367="","",IF(Настройки_2026!$B$6="ДЕМО",1,IF(I367="ДЕМО",0,1)))</f>
        <v/>
      </c>
    </row>
    <row r="368" spans="1:14" x14ac:dyDescent="0.25">
      <c r="A368" s="26"/>
      <c r="B368" s="27"/>
      <c r="C368" s="27"/>
      <c r="D368" s="27"/>
      <c r="E368" s="28"/>
      <c r="F368" s="27"/>
      <c r="G368" s="27"/>
      <c r="H368" s="29"/>
      <c r="I368" s="27"/>
      <c r="J368" s="27"/>
      <c r="K368" s="30" t="str">
        <f t="shared" si="5"/>
        <v/>
      </c>
      <c r="L368" s="31">
        <f>IF(B368&lt;&gt;"Расход",0,IF(H368&lt;&gt;"",E368*H368,IFERROR(IF(VLOOKUP(D368,Категории!$A$3:$F$27,4,FALSE)="",0,E368*VLOOKUP(D368,Категории!$A$3:$F$27,4,FALSE)),0)))</f>
        <v>0</v>
      </c>
      <c r="M368" s="30" t="str">
        <f>IF(A368="","",IF(NOT(ISNUMBER(A368)),"ДАТА; ","")&amp;IF(NOT(ISNUMBER(E368)),"СУММА; ","")&amp;IF(AND(B368&lt;&gt;"",D368&lt;&gt;"",IFERROR(VLOOKUP(D368,Категории!$A$3:$B$27,2,FALSE),"")&lt;&gt;B368),"ТИП/КАТЕГОРИЯ; ","")&amp;IF(AND(B368="Доход",G368=""),"НЕТ № КВИТАНЦИИ; ","")&amp;IF(AND(B368="Расход",H368="",IFERROR(VLOOKUP(D368,Категории!$A$3:$D$27,4,FALSE),"")=""),"УКАЖИТЕ ДОЛЮ; ","")&amp;IF(COUNTIFS($A$5:$A$504,A368,$B$5:$B$504,B368,$C$5:$C$504,C368,$E$5:$E$504,E368)&gt;1,"ВОЗМОЖНЫЙ ДУБЛЬ; ","")&amp;IF(AND(A368&lt;&gt;"",A369&lt;&gt;"",A368&lt;A369),"ПОРЯДОК ДАТ; ",""))</f>
        <v/>
      </c>
      <c r="N368" s="30" t="str">
        <f>IF(A368="","",IF(Настройки_2026!$B$6="ДЕМО",1,IF(I368="ДЕМО",0,1)))</f>
        <v/>
      </c>
    </row>
    <row r="369" spans="1:14" x14ac:dyDescent="0.25">
      <c r="A369" s="26"/>
      <c r="B369" s="27"/>
      <c r="C369" s="27"/>
      <c r="D369" s="27"/>
      <c r="E369" s="28"/>
      <c r="F369" s="27"/>
      <c r="G369" s="27"/>
      <c r="H369" s="29"/>
      <c r="I369" s="27"/>
      <c r="J369" s="27"/>
      <c r="K369" s="30" t="str">
        <f t="shared" si="5"/>
        <v/>
      </c>
      <c r="L369" s="31">
        <f>IF(B369&lt;&gt;"Расход",0,IF(H369&lt;&gt;"",E369*H369,IFERROR(IF(VLOOKUP(D369,Категории!$A$3:$F$27,4,FALSE)="",0,E369*VLOOKUP(D369,Категории!$A$3:$F$27,4,FALSE)),0)))</f>
        <v>0</v>
      </c>
      <c r="M369" s="30" t="str">
        <f>IF(A369="","",IF(NOT(ISNUMBER(A369)),"ДАТА; ","")&amp;IF(NOT(ISNUMBER(E369)),"СУММА; ","")&amp;IF(AND(B369&lt;&gt;"",D369&lt;&gt;"",IFERROR(VLOOKUP(D369,Категории!$A$3:$B$27,2,FALSE),"")&lt;&gt;B369),"ТИП/КАТЕГОРИЯ; ","")&amp;IF(AND(B369="Доход",G369=""),"НЕТ № КВИТАНЦИИ; ","")&amp;IF(AND(B369="Расход",H369="",IFERROR(VLOOKUP(D369,Категории!$A$3:$D$27,4,FALSE),"")=""),"УКАЖИТЕ ДОЛЮ; ","")&amp;IF(COUNTIFS($A$5:$A$504,A369,$B$5:$B$504,B369,$C$5:$C$504,C369,$E$5:$E$504,E369)&gt;1,"ВОЗМОЖНЫЙ ДУБЛЬ; ","")&amp;IF(AND(A369&lt;&gt;"",A370&lt;&gt;"",A369&lt;A370),"ПОРЯДОК ДАТ; ",""))</f>
        <v/>
      </c>
      <c r="N369" s="30" t="str">
        <f>IF(A369="","",IF(Настройки_2026!$B$6="ДЕМО",1,IF(I369="ДЕМО",0,1)))</f>
        <v/>
      </c>
    </row>
    <row r="370" spans="1:14" x14ac:dyDescent="0.25">
      <c r="A370" s="26"/>
      <c r="B370" s="27"/>
      <c r="C370" s="27"/>
      <c r="D370" s="27"/>
      <c r="E370" s="28"/>
      <c r="F370" s="27"/>
      <c r="G370" s="27"/>
      <c r="H370" s="29"/>
      <c r="I370" s="27"/>
      <c r="J370" s="27"/>
      <c r="K370" s="30" t="str">
        <f t="shared" si="5"/>
        <v/>
      </c>
      <c r="L370" s="31">
        <f>IF(B370&lt;&gt;"Расход",0,IF(H370&lt;&gt;"",E370*H370,IFERROR(IF(VLOOKUP(D370,Категории!$A$3:$F$27,4,FALSE)="",0,E370*VLOOKUP(D370,Категории!$A$3:$F$27,4,FALSE)),0)))</f>
        <v>0</v>
      </c>
      <c r="M370" s="30" t="str">
        <f>IF(A370="","",IF(NOT(ISNUMBER(A370)),"ДАТА; ","")&amp;IF(NOT(ISNUMBER(E370)),"СУММА; ","")&amp;IF(AND(B370&lt;&gt;"",D370&lt;&gt;"",IFERROR(VLOOKUP(D370,Категории!$A$3:$B$27,2,FALSE),"")&lt;&gt;B370),"ТИП/КАТЕГОРИЯ; ","")&amp;IF(AND(B370="Доход",G370=""),"НЕТ № КВИТАНЦИИ; ","")&amp;IF(AND(B370="Расход",H370="",IFERROR(VLOOKUP(D370,Категории!$A$3:$D$27,4,FALSE),"")=""),"УКАЖИТЕ ДОЛЮ; ","")&amp;IF(COUNTIFS($A$5:$A$504,A370,$B$5:$B$504,B370,$C$5:$C$504,C370,$E$5:$E$504,E370)&gt;1,"ВОЗМОЖНЫЙ ДУБЛЬ; ","")&amp;IF(AND(A370&lt;&gt;"",A371&lt;&gt;"",A370&lt;A371),"ПОРЯДОК ДАТ; ",""))</f>
        <v/>
      </c>
      <c r="N370" s="30" t="str">
        <f>IF(A370="","",IF(Настройки_2026!$B$6="ДЕМО",1,IF(I370="ДЕМО",0,1)))</f>
        <v/>
      </c>
    </row>
    <row r="371" spans="1:14" x14ac:dyDescent="0.25">
      <c r="A371" s="26"/>
      <c r="B371" s="27"/>
      <c r="C371" s="27"/>
      <c r="D371" s="27"/>
      <c r="E371" s="28"/>
      <c r="F371" s="27"/>
      <c r="G371" s="27"/>
      <c r="H371" s="29"/>
      <c r="I371" s="27"/>
      <c r="J371" s="27"/>
      <c r="K371" s="30" t="str">
        <f t="shared" si="5"/>
        <v/>
      </c>
      <c r="L371" s="31">
        <f>IF(B371&lt;&gt;"Расход",0,IF(H371&lt;&gt;"",E371*H371,IFERROR(IF(VLOOKUP(D371,Категории!$A$3:$F$27,4,FALSE)="",0,E371*VLOOKUP(D371,Категории!$A$3:$F$27,4,FALSE)),0)))</f>
        <v>0</v>
      </c>
      <c r="M371" s="30" t="str">
        <f>IF(A371="","",IF(NOT(ISNUMBER(A371)),"ДАТА; ","")&amp;IF(NOT(ISNUMBER(E371)),"СУММА; ","")&amp;IF(AND(B371&lt;&gt;"",D371&lt;&gt;"",IFERROR(VLOOKUP(D371,Категории!$A$3:$B$27,2,FALSE),"")&lt;&gt;B371),"ТИП/КАТЕГОРИЯ; ","")&amp;IF(AND(B371="Доход",G371=""),"НЕТ № КВИТАНЦИИ; ","")&amp;IF(AND(B371="Расход",H371="",IFERROR(VLOOKUP(D371,Категории!$A$3:$D$27,4,FALSE),"")=""),"УКАЖИТЕ ДОЛЮ; ","")&amp;IF(COUNTIFS($A$5:$A$504,A371,$B$5:$B$504,B371,$C$5:$C$504,C371,$E$5:$E$504,E371)&gt;1,"ВОЗМОЖНЫЙ ДУБЛЬ; ","")&amp;IF(AND(A371&lt;&gt;"",A372&lt;&gt;"",A371&lt;A372),"ПОРЯДОК ДАТ; ",""))</f>
        <v/>
      </c>
      <c r="N371" s="30" t="str">
        <f>IF(A371="","",IF(Настройки_2026!$B$6="ДЕМО",1,IF(I371="ДЕМО",0,1)))</f>
        <v/>
      </c>
    </row>
    <row r="372" spans="1:14" x14ac:dyDescent="0.25">
      <c r="A372" s="26"/>
      <c r="B372" s="27"/>
      <c r="C372" s="27"/>
      <c r="D372" s="27"/>
      <c r="E372" s="28"/>
      <c r="F372" s="27"/>
      <c r="G372" s="27"/>
      <c r="H372" s="29"/>
      <c r="I372" s="27"/>
      <c r="J372" s="27"/>
      <c r="K372" s="30" t="str">
        <f t="shared" si="5"/>
        <v/>
      </c>
      <c r="L372" s="31">
        <f>IF(B372&lt;&gt;"Расход",0,IF(H372&lt;&gt;"",E372*H372,IFERROR(IF(VLOOKUP(D372,Категории!$A$3:$F$27,4,FALSE)="",0,E372*VLOOKUP(D372,Категории!$A$3:$F$27,4,FALSE)),0)))</f>
        <v>0</v>
      </c>
      <c r="M372" s="30" t="str">
        <f>IF(A372="","",IF(NOT(ISNUMBER(A372)),"ДАТА; ","")&amp;IF(NOT(ISNUMBER(E372)),"СУММА; ","")&amp;IF(AND(B372&lt;&gt;"",D372&lt;&gt;"",IFERROR(VLOOKUP(D372,Категории!$A$3:$B$27,2,FALSE),"")&lt;&gt;B372),"ТИП/КАТЕГОРИЯ; ","")&amp;IF(AND(B372="Доход",G372=""),"НЕТ № КВИТАНЦИИ; ","")&amp;IF(AND(B372="Расход",H372="",IFERROR(VLOOKUP(D372,Категории!$A$3:$D$27,4,FALSE),"")=""),"УКАЖИТЕ ДОЛЮ; ","")&amp;IF(COUNTIFS($A$5:$A$504,A372,$B$5:$B$504,B372,$C$5:$C$504,C372,$E$5:$E$504,E372)&gt;1,"ВОЗМОЖНЫЙ ДУБЛЬ; ","")&amp;IF(AND(A372&lt;&gt;"",A373&lt;&gt;"",A372&lt;A373),"ПОРЯДОК ДАТ; ",""))</f>
        <v/>
      </c>
      <c r="N372" s="30" t="str">
        <f>IF(A372="","",IF(Настройки_2026!$B$6="ДЕМО",1,IF(I372="ДЕМО",0,1)))</f>
        <v/>
      </c>
    </row>
    <row r="373" spans="1:14" x14ac:dyDescent="0.25">
      <c r="A373" s="26"/>
      <c r="B373" s="27"/>
      <c r="C373" s="27"/>
      <c r="D373" s="27"/>
      <c r="E373" s="28"/>
      <c r="F373" s="27"/>
      <c r="G373" s="27"/>
      <c r="H373" s="29"/>
      <c r="I373" s="27"/>
      <c r="J373" s="27"/>
      <c r="K373" s="30" t="str">
        <f t="shared" si="5"/>
        <v/>
      </c>
      <c r="L373" s="31">
        <f>IF(B373&lt;&gt;"Расход",0,IF(H373&lt;&gt;"",E373*H373,IFERROR(IF(VLOOKUP(D373,Категории!$A$3:$F$27,4,FALSE)="",0,E373*VLOOKUP(D373,Категории!$A$3:$F$27,4,FALSE)),0)))</f>
        <v>0</v>
      </c>
      <c r="M373" s="30" t="str">
        <f>IF(A373="","",IF(NOT(ISNUMBER(A373)),"ДАТА; ","")&amp;IF(NOT(ISNUMBER(E373)),"СУММА; ","")&amp;IF(AND(B373&lt;&gt;"",D373&lt;&gt;"",IFERROR(VLOOKUP(D373,Категории!$A$3:$B$27,2,FALSE),"")&lt;&gt;B373),"ТИП/КАТЕГОРИЯ; ","")&amp;IF(AND(B373="Доход",G373=""),"НЕТ № КВИТАНЦИИ; ","")&amp;IF(AND(B373="Расход",H373="",IFERROR(VLOOKUP(D373,Категории!$A$3:$D$27,4,FALSE),"")=""),"УКАЖИТЕ ДОЛЮ; ","")&amp;IF(COUNTIFS($A$5:$A$504,A373,$B$5:$B$504,B373,$C$5:$C$504,C373,$E$5:$E$504,E373)&gt;1,"ВОЗМОЖНЫЙ ДУБЛЬ; ","")&amp;IF(AND(A373&lt;&gt;"",A374&lt;&gt;"",A373&lt;A374),"ПОРЯДОК ДАТ; ",""))</f>
        <v/>
      </c>
      <c r="N373" s="30" t="str">
        <f>IF(A373="","",IF(Настройки_2026!$B$6="ДЕМО",1,IF(I373="ДЕМО",0,1)))</f>
        <v/>
      </c>
    </row>
    <row r="374" spans="1:14" x14ac:dyDescent="0.25">
      <c r="A374" s="26"/>
      <c r="B374" s="27"/>
      <c r="C374" s="27"/>
      <c r="D374" s="27"/>
      <c r="E374" s="28"/>
      <c r="F374" s="27"/>
      <c r="G374" s="27"/>
      <c r="H374" s="29"/>
      <c r="I374" s="27"/>
      <c r="J374" s="27"/>
      <c r="K374" s="30" t="str">
        <f t="shared" si="5"/>
        <v/>
      </c>
      <c r="L374" s="31">
        <f>IF(B374&lt;&gt;"Расход",0,IF(H374&lt;&gt;"",E374*H374,IFERROR(IF(VLOOKUP(D374,Категории!$A$3:$F$27,4,FALSE)="",0,E374*VLOOKUP(D374,Категории!$A$3:$F$27,4,FALSE)),0)))</f>
        <v>0</v>
      </c>
      <c r="M374" s="30" t="str">
        <f>IF(A374="","",IF(NOT(ISNUMBER(A374)),"ДАТА; ","")&amp;IF(NOT(ISNUMBER(E374)),"СУММА; ","")&amp;IF(AND(B374&lt;&gt;"",D374&lt;&gt;"",IFERROR(VLOOKUP(D374,Категории!$A$3:$B$27,2,FALSE),"")&lt;&gt;B374),"ТИП/КАТЕГОРИЯ; ","")&amp;IF(AND(B374="Доход",G374=""),"НЕТ № КВИТАНЦИИ; ","")&amp;IF(AND(B374="Расход",H374="",IFERROR(VLOOKUP(D374,Категории!$A$3:$D$27,4,FALSE),"")=""),"УКАЖИТЕ ДОЛЮ; ","")&amp;IF(COUNTIFS($A$5:$A$504,A374,$B$5:$B$504,B374,$C$5:$C$504,C374,$E$5:$E$504,E374)&gt;1,"ВОЗМОЖНЫЙ ДУБЛЬ; ","")&amp;IF(AND(A374&lt;&gt;"",A375&lt;&gt;"",A374&lt;A375),"ПОРЯДОК ДАТ; ",""))</f>
        <v/>
      </c>
      <c r="N374" s="30" t="str">
        <f>IF(A374="","",IF(Настройки_2026!$B$6="ДЕМО",1,IF(I374="ДЕМО",0,1)))</f>
        <v/>
      </c>
    </row>
    <row r="375" spans="1:14" x14ac:dyDescent="0.25">
      <c r="A375" s="26"/>
      <c r="B375" s="27"/>
      <c r="C375" s="27"/>
      <c r="D375" s="27"/>
      <c r="E375" s="28"/>
      <c r="F375" s="27"/>
      <c r="G375" s="27"/>
      <c r="H375" s="29"/>
      <c r="I375" s="27"/>
      <c r="J375" s="27"/>
      <c r="K375" s="30" t="str">
        <f t="shared" si="5"/>
        <v/>
      </c>
      <c r="L375" s="31">
        <f>IF(B375&lt;&gt;"Расход",0,IF(H375&lt;&gt;"",E375*H375,IFERROR(IF(VLOOKUP(D375,Категории!$A$3:$F$27,4,FALSE)="",0,E375*VLOOKUP(D375,Категории!$A$3:$F$27,4,FALSE)),0)))</f>
        <v>0</v>
      </c>
      <c r="M375" s="30" t="str">
        <f>IF(A375="","",IF(NOT(ISNUMBER(A375)),"ДАТА; ","")&amp;IF(NOT(ISNUMBER(E375)),"СУММА; ","")&amp;IF(AND(B375&lt;&gt;"",D375&lt;&gt;"",IFERROR(VLOOKUP(D375,Категории!$A$3:$B$27,2,FALSE),"")&lt;&gt;B375),"ТИП/КАТЕГОРИЯ; ","")&amp;IF(AND(B375="Доход",G375=""),"НЕТ № КВИТАНЦИИ; ","")&amp;IF(AND(B375="Расход",H375="",IFERROR(VLOOKUP(D375,Категории!$A$3:$D$27,4,FALSE),"")=""),"УКАЖИТЕ ДОЛЮ; ","")&amp;IF(COUNTIFS($A$5:$A$504,A375,$B$5:$B$504,B375,$C$5:$C$504,C375,$E$5:$E$504,E375)&gt;1,"ВОЗМОЖНЫЙ ДУБЛЬ; ","")&amp;IF(AND(A375&lt;&gt;"",A376&lt;&gt;"",A375&lt;A376),"ПОРЯДОК ДАТ; ",""))</f>
        <v/>
      </c>
      <c r="N375" s="30" t="str">
        <f>IF(A375="","",IF(Настройки_2026!$B$6="ДЕМО",1,IF(I375="ДЕМО",0,1)))</f>
        <v/>
      </c>
    </row>
    <row r="376" spans="1:14" x14ac:dyDescent="0.25">
      <c r="A376" s="26"/>
      <c r="B376" s="27"/>
      <c r="C376" s="27"/>
      <c r="D376" s="27"/>
      <c r="E376" s="28"/>
      <c r="F376" s="27"/>
      <c r="G376" s="27"/>
      <c r="H376" s="29"/>
      <c r="I376" s="27"/>
      <c r="J376" s="27"/>
      <c r="K376" s="30" t="str">
        <f t="shared" si="5"/>
        <v/>
      </c>
      <c r="L376" s="31">
        <f>IF(B376&lt;&gt;"Расход",0,IF(H376&lt;&gt;"",E376*H376,IFERROR(IF(VLOOKUP(D376,Категории!$A$3:$F$27,4,FALSE)="",0,E376*VLOOKUP(D376,Категории!$A$3:$F$27,4,FALSE)),0)))</f>
        <v>0</v>
      </c>
      <c r="M376" s="30" t="str">
        <f>IF(A376="","",IF(NOT(ISNUMBER(A376)),"ДАТА; ","")&amp;IF(NOT(ISNUMBER(E376)),"СУММА; ","")&amp;IF(AND(B376&lt;&gt;"",D376&lt;&gt;"",IFERROR(VLOOKUP(D376,Категории!$A$3:$B$27,2,FALSE),"")&lt;&gt;B376),"ТИП/КАТЕГОРИЯ; ","")&amp;IF(AND(B376="Доход",G376=""),"НЕТ № КВИТАНЦИИ; ","")&amp;IF(AND(B376="Расход",H376="",IFERROR(VLOOKUP(D376,Категории!$A$3:$D$27,4,FALSE),"")=""),"УКАЖИТЕ ДОЛЮ; ","")&amp;IF(COUNTIFS($A$5:$A$504,A376,$B$5:$B$504,B376,$C$5:$C$504,C376,$E$5:$E$504,E376)&gt;1,"ВОЗМОЖНЫЙ ДУБЛЬ; ","")&amp;IF(AND(A376&lt;&gt;"",A377&lt;&gt;"",A376&lt;A377),"ПОРЯДОК ДАТ; ",""))</f>
        <v/>
      </c>
      <c r="N376" s="30" t="str">
        <f>IF(A376="","",IF(Настройки_2026!$B$6="ДЕМО",1,IF(I376="ДЕМО",0,1)))</f>
        <v/>
      </c>
    </row>
    <row r="377" spans="1:14" x14ac:dyDescent="0.25">
      <c r="A377" s="26"/>
      <c r="B377" s="27"/>
      <c r="C377" s="27"/>
      <c r="D377" s="27"/>
      <c r="E377" s="28"/>
      <c r="F377" s="27"/>
      <c r="G377" s="27"/>
      <c r="H377" s="29"/>
      <c r="I377" s="27"/>
      <c r="J377" s="27"/>
      <c r="K377" s="30" t="str">
        <f t="shared" si="5"/>
        <v/>
      </c>
      <c r="L377" s="31">
        <f>IF(B377&lt;&gt;"Расход",0,IF(H377&lt;&gt;"",E377*H377,IFERROR(IF(VLOOKUP(D377,Категории!$A$3:$F$27,4,FALSE)="",0,E377*VLOOKUP(D377,Категории!$A$3:$F$27,4,FALSE)),0)))</f>
        <v>0</v>
      </c>
      <c r="M377" s="30" t="str">
        <f>IF(A377="","",IF(NOT(ISNUMBER(A377)),"ДАТА; ","")&amp;IF(NOT(ISNUMBER(E377)),"СУММА; ","")&amp;IF(AND(B377&lt;&gt;"",D377&lt;&gt;"",IFERROR(VLOOKUP(D377,Категории!$A$3:$B$27,2,FALSE),"")&lt;&gt;B377),"ТИП/КАТЕГОРИЯ; ","")&amp;IF(AND(B377="Доход",G377=""),"НЕТ № КВИТАНЦИИ; ","")&amp;IF(AND(B377="Расход",H377="",IFERROR(VLOOKUP(D377,Категории!$A$3:$D$27,4,FALSE),"")=""),"УКАЖИТЕ ДОЛЮ; ","")&amp;IF(COUNTIFS($A$5:$A$504,A377,$B$5:$B$504,B377,$C$5:$C$504,C377,$E$5:$E$504,E377)&gt;1,"ВОЗМОЖНЫЙ ДУБЛЬ; ","")&amp;IF(AND(A377&lt;&gt;"",A378&lt;&gt;"",A377&lt;A378),"ПОРЯДОК ДАТ; ",""))</f>
        <v/>
      </c>
      <c r="N377" s="30" t="str">
        <f>IF(A377="","",IF(Настройки_2026!$B$6="ДЕМО",1,IF(I377="ДЕМО",0,1)))</f>
        <v/>
      </c>
    </row>
    <row r="378" spans="1:14" x14ac:dyDescent="0.25">
      <c r="A378" s="26"/>
      <c r="B378" s="27"/>
      <c r="C378" s="27"/>
      <c r="D378" s="27"/>
      <c r="E378" s="28"/>
      <c r="F378" s="27"/>
      <c r="G378" s="27"/>
      <c r="H378" s="29"/>
      <c r="I378" s="27"/>
      <c r="J378" s="27"/>
      <c r="K378" s="30" t="str">
        <f t="shared" si="5"/>
        <v/>
      </c>
      <c r="L378" s="31">
        <f>IF(B378&lt;&gt;"Расход",0,IF(H378&lt;&gt;"",E378*H378,IFERROR(IF(VLOOKUP(D378,Категории!$A$3:$F$27,4,FALSE)="",0,E378*VLOOKUP(D378,Категории!$A$3:$F$27,4,FALSE)),0)))</f>
        <v>0</v>
      </c>
      <c r="M378" s="30" t="str">
        <f>IF(A378="","",IF(NOT(ISNUMBER(A378)),"ДАТА; ","")&amp;IF(NOT(ISNUMBER(E378)),"СУММА; ","")&amp;IF(AND(B378&lt;&gt;"",D378&lt;&gt;"",IFERROR(VLOOKUP(D378,Категории!$A$3:$B$27,2,FALSE),"")&lt;&gt;B378),"ТИП/КАТЕГОРИЯ; ","")&amp;IF(AND(B378="Доход",G378=""),"НЕТ № КВИТАНЦИИ; ","")&amp;IF(AND(B378="Расход",H378="",IFERROR(VLOOKUP(D378,Категории!$A$3:$D$27,4,FALSE),"")=""),"УКАЖИТЕ ДОЛЮ; ","")&amp;IF(COUNTIFS($A$5:$A$504,A378,$B$5:$B$504,B378,$C$5:$C$504,C378,$E$5:$E$504,E378)&gt;1,"ВОЗМОЖНЫЙ ДУБЛЬ; ","")&amp;IF(AND(A378&lt;&gt;"",A379&lt;&gt;"",A378&lt;A379),"ПОРЯДОК ДАТ; ",""))</f>
        <v/>
      </c>
      <c r="N378" s="30" t="str">
        <f>IF(A378="","",IF(Настройки_2026!$B$6="ДЕМО",1,IF(I378="ДЕМО",0,1)))</f>
        <v/>
      </c>
    </row>
    <row r="379" spans="1:14" x14ac:dyDescent="0.25">
      <c r="A379" s="26"/>
      <c r="B379" s="27"/>
      <c r="C379" s="27"/>
      <c r="D379" s="27"/>
      <c r="E379" s="28"/>
      <c r="F379" s="27"/>
      <c r="G379" s="27"/>
      <c r="H379" s="29"/>
      <c r="I379" s="27"/>
      <c r="J379" s="27"/>
      <c r="K379" s="30" t="str">
        <f t="shared" si="5"/>
        <v/>
      </c>
      <c r="L379" s="31">
        <f>IF(B379&lt;&gt;"Расход",0,IF(H379&lt;&gt;"",E379*H379,IFERROR(IF(VLOOKUP(D379,Категории!$A$3:$F$27,4,FALSE)="",0,E379*VLOOKUP(D379,Категории!$A$3:$F$27,4,FALSE)),0)))</f>
        <v>0</v>
      </c>
      <c r="M379" s="30" t="str">
        <f>IF(A379="","",IF(NOT(ISNUMBER(A379)),"ДАТА; ","")&amp;IF(NOT(ISNUMBER(E379)),"СУММА; ","")&amp;IF(AND(B379&lt;&gt;"",D379&lt;&gt;"",IFERROR(VLOOKUP(D379,Категории!$A$3:$B$27,2,FALSE),"")&lt;&gt;B379),"ТИП/КАТЕГОРИЯ; ","")&amp;IF(AND(B379="Доход",G379=""),"НЕТ № КВИТАНЦИИ; ","")&amp;IF(AND(B379="Расход",H379="",IFERROR(VLOOKUP(D379,Категории!$A$3:$D$27,4,FALSE),"")=""),"УКАЖИТЕ ДОЛЮ; ","")&amp;IF(COUNTIFS($A$5:$A$504,A379,$B$5:$B$504,B379,$C$5:$C$504,C379,$E$5:$E$504,E379)&gt;1,"ВОЗМОЖНЫЙ ДУБЛЬ; ","")&amp;IF(AND(A379&lt;&gt;"",A380&lt;&gt;"",A379&lt;A380),"ПОРЯДОК ДАТ; ",""))</f>
        <v/>
      </c>
      <c r="N379" s="30" t="str">
        <f>IF(A379="","",IF(Настройки_2026!$B$6="ДЕМО",1,IF(I379="ДЕМО",0,1)))</f>
        <v/>
      </c>
    </row>
    <row r="380" spans="1:14" x14ac:dyDescent="0.25">
      <c r="A380" s="26"/>
      <c r="B380" s="27"/>
      <c r="C380" s="27"/>
      <c r="D380" s="27"/>
      <c r="E380" s="28"/>
      <c r="F380" s="27"/>
      <c r="G380" s="27"/>
      <c r="H380" s="29"/>
      <c r="I380" s="27"/>
      <c r="J380" s="27"/>
      <c r="K380" s="30" t="str">
        <f t="shared" si="5"/>
        <v/>
      </c>
      <c r="L380" s="31">
        <f>IF(B380&lt;&gt;"Расход",0,IF(H380&lt;&gt;"",E380*H380,IFERROR(IF(VLOOKUP(D380,Категории!$A$3:$F$27,4,FALSE)="",0,E380*VLOOKUP(D380,Категории!$A$3:$F$27,4,FALSE)),0)))</f>
        <v>0</v>
      </c>
      <c r="M380" s="30" t="str">
        <f>IF(A380="","",IF(NOT(ISNUMBER(A380)),"ДАТА; ","")&amp;IF(NOT(ISNUMBER(E380)),"СУММА; ","")&amp;IF(AND(B380&lt;&gt;"",D380&lt;&gt;"",IFERROR(VLOOKUP(D380,Категории!$A$3:$B$27,2,FALSE),"")&lt;&gt;B380),"ТИП/КАТЕГОРИЯ; ","")&amp;IF(AND(B380="Доход",G380=""),"НЕТ № КВИТАНЦИИ; ","")&amp;IF(AND(B380="Расход",H380="",IFERROR(VLOOKUP(D380,Категории!$A$3:$D$27,4,FALSE),"")=""),"УКАЖИТЕ ДОЛЮ; ","")&amp;IF(COUNTIFS($A$5:$A$504,A380,$B$5:$B$504,B380,$C$5:$C$504,C380,$E$5:$E$504,E380)&gt;1,"ВОЗМОЖНЫЙ ДУБЛЬ; ","")&amp;IF(AND(A380&lt;&gt;"",A381&lt;&gt;"",A380&lt;A381),"ПОРЯДОК ДАТ; ",""))</f>
        <v/>
      </c>
      <c r="N380" s="30" t="str">
        <f>IF(A380="","",IF(Настройки_2026!$B$6="ДЕМО",1,IF(I380="ДЕМО",0,1)))</f>
        <v/>
      </c>
    </row>
    <row r="381" spans="1:14" x14ac:dyDescent="0.25">
      <c r="A381" s="26"/>
      <c r="B381" s="27"/>
      <c r="C381" s="27"/>
      <c r="D381" s="27"/>
      <c r="E381" s="28"/>
      <c r="F381" s="27"/>
      <c r="G381" s="27"/>
      <c r="H381" s="29"/>
      <c r="I381" s="27"/>
      <c r="J381" s="27"/>
      <c r="K381" s="30" t="str">
        <f t="shared" si="5"/>
        <v/>
      </c>
      <c r="L381" s="31">
        <f>IF(B381&lt;&gt;"Расход",0,IF(H381&lt;&gt;"",E381*H381,IFERROR(IF(VLOOKUP(D381,Категории!$A$3:$F$27,4,FALSE)="",0,E381*VLOOKUP(D381,Категории!$A$3:$F$27,4,FALSE)),0)))</f>
        <v>0</v>
      </c>
      <c r="M381" s="30" t="str">
        <f>IF(A381="","",IF(NOT(ISNUMBER(A381)),"ДАТА; ","")&amp;IF(NOT(ISNUMBER(E381)),"СУММА; ","")&amp;IF(AND(B381&lt;&gt;"",D381&lt;&gt;"",IFERROR(VLOOKUP(D381,Категории!$A$3:$B$27,2,FALSE),"")&lt;&gt;B381),"ТИП/КАТЕГОРИЯ; ","")&amp;IF(AND(B381="Доход",G381=""),"НЕТ № КВИТАНЦИИ; ","")&amp;IF(AND(B381="Расход",H381="",IFERROR(VLOOKUP(D381,Категории!$A$3:$D$27,4,FALSE),"")=""),"УКАЖИТЕ ДОЛЮ; ","")&amp;IF(COUNTIFS($A$5:$A$504,A381,$B$5:$B$504,B381,$C$5:$C$504,C381,$E$5:$E$504,E381)&gt;1,"ВОЗМОЖНЫЙ ДУБЛЬ; ","")&amp;IF(AND(A381&lt;&gt;"",A382&lt;&gt;"",A381&lt;A382),"ПОРЯДОК ДАТ; ",""))</f>
        <v/>
      </c>
      <c r="N381" s="30" t="str">
        <f>IF(A381="","",IF(Настройки_2026!$B$6="ДЕМО",1,IF(I381="ДЕМО",0,1)))</f>
        <v/>
      </c>
    </row>
    <row r="382" spans="1:14" x14ac:dyDescent="0.25">
      <c r="A382" s="26"/>
      <c r="B382" s="27"/>
      <c r="C382" s="27"/>
      <c r="D382" s="27"/>
      <c r="E382" s="28"/>
      <c r="F382" s="27"/>
      <c r="G382" s="27"/>
      <c r="H382" s="29"/>
      <c r="I382" s="27"/>
      <c r="J382" s="27"/>
      <c r="K382" s="30" t="str">
        <f t="shared" si="5"/>
        <v/>
      </c>
      <c r="L382" s="31">
        <f>IF(B382&lt;&gt;"Расход",0,IF(H382&lt;&gt;"",E382*H382,IFERROR(IF(VLOOKUP(D382,Категории!$A$3:$F$27,4,FALSE)="",0,E382*VLOOKUP(D382,Категории!$A$3:$F$27,4,FALSE)),0)))</f>
        <v>0</v>
      </c>
      <c r="M382" s="30" t="str">
        <f>IF(A382="","",IF(NOT(ISNUMBER(A382)),"ДАТА; ","")&amp;IF(NOT(ISNUMBER(E382)),"СУММА; ","")&amp;IF(AND(B382&lt;&gt;"",D382&lt;&gt;"",IFERROR(VLOOKUP(D382,Категории!$A$3:$B$27,2,FALSE),"")&lt;&gt;B382),"ТИП/КАТЕГОРИЯ; ","")&amp;IF(AND(B382="Доход",G382=""),"НЕТ № КВИТАНЦИИ; ","")&amp;IF(AND(B382="Расход",H382="",IFERROR(VLOOKUP(D382,Категории!$A$3:$D$27,4,FALSE),"")=""),"УКАЖИТЕ ДОЛЮ; ","")&amp;IF(COUNTIFS($A$5:$A$504,A382,$B$5:$B$504,B382,$C$5:$C$504,C382,$E$5:$E$504,E382)&gt;1,"ВОЗМОЖНЫЙ ДУБЛЬ; ","")&amp;IF(AND(A382&lt;&gt;"",A383&lt;&gt;"",A382&lt;A383),"ПОРЯДОК ДАТ; ",""))</f>
        <v/>
      </c>
      <c r="N382" s="30" t="str">
        <f>IF(A382="","",IF(Настройки_2026!$B$6="ДЕМО",1,IF(I382="ДЕМО",0,1)))</f>
        <v/>
      </c>
    </row>
    <row r="383" spans="1:14" x14ac:dyDescent="0.25">
      <c r="A383" s="26"/>
      <c r="B383" s="27"/>
      <c r="C383" s="27"/>
      <c r="D383" s="27"/>
      <c r="E383" s="28"/>
      <c r="F383" s="27"/>
      <c r="G383" s="27"/>
      <c r="H383" s="29"/>
      <c r="I383" s="27"/>
      <c r="J383" s="27"/>
      <c r="K383" s="30" t="str">
        <f t="shared" si="5"/>
        <v/>
      </c>
      <c r="L383" s="31">
        <f>IF(B383&lt;&gt;"Расход",0,IF(H383&lt;&gt;"",E383*H383,IFERROR(IF(VLOOKUP(D383,Категории!$A$3:$F$27,4,FALSE)="",0,E383*VLOOKUP(D383,Категории!$A$3:$F$27,4,FALSE)),0)))</f>
        <v>0</v>
      </c>
      <c r="M383" s="30" t="str">
        <f>IF(A383="","",IF(NOT(ISNUMBER(A383)),"ДАТА; ","")&amp;IF(NOT(ISNUMBER(E383)),"СУММА; ","")&amp;IF(AND(B383&lt;&gt;"",D383&lt;&gt;"",IFERROR(VLOOKUP(D383,Категории!$A$3:$B$27,2,FALSE),"")&lt;&gt;B383),"ТИП/КАТЕГОРИЯ; ","")&amp;IF(AND(B383="Доход",G383=""),"НЕТ № КВИТАНЦИИ; ","")&amp;IF(AND(B383="Расход",H383="",IFERROR(VLOOKUP(D383,Категории!$A$3:$D$27,4,FALSE),"")=""),"УКАЖИТЕ ДОЛЮ; ","")&amp;IF(COUNTIFS($A$5:$A$504,A383,$B$5:$B$504,B383,$C$5:$C$504,C383,$E$5:$E$504,E383)&gt;1,"ВОЗМОЖНЫЙ ДУБЛЬ; ","")&amp;IF(AND(A383&lt;&gt;"",A384&lt;&gt;"",A383&lt;A384),"ПОРЯДОК ДАТ; ",""))</f>
        <v/>
      </c>
      <c r="N383" s="30" t="str">
        <f>IF(A383="","",IF(Настройки_2026!$B$6="ДЕМО",1,IF(I383="ДЕМО",0,1)))</f>
        <v/>
      </c>
    </row>
    <row r="384" spans="1:14" x14ac:dyDescent="0.25">
      <c r="A384" s="26"/>
      <c r="B384" s="27"/>
      <c r="C384" s="27"/>
      <c r="D384" s="27"/>
      <c r="E384" s="28"/>
      <c r="F384" s="27"/>
      <c r="G384" s="27"/>
      <c r="H384" s="29"/>
      <c r="I384" s="27"/>
      <c r="J384" s="27"/>
      <c r="K384" s="30" t="str">
        <f t="shared" si="5"/>
        <v/>
      </c>
      <c r="L384" s="31">
        <f>IF(B384&lt;&gt;"Расход",0,IF(H384&lt;&gt;"",E384*H384,IFERROR(IF(VLOOKUP(D384,Категории!$A$3:$F$27,4,FALSE)="",0,E384*VLOOKUP(D384,Категории!$A$3:$F$27,4,FALSE)),0)))</f>
        <v>0</v>
      </c>
      <c r="M384" s="30" t="str">
        <f>IF(A384="","",IF(NOT(ISNUMBER(A384)),"ДАТА; ","")&amp;IF(NOT(ISNUMBER(E384)),"СУММА; ","")&amp;IF(AND(B384&lt;&gt;"",D384&lt;&gt;"",IFERROR(VLOOKUP(D384,Категории!$A$3:$B$27,2,FALSE),"")&lt;&gt;B384),"ТИП/КАТЕГОРИЯ; ","")&amp;IF(AND(B384="Доход",G384=""),"НЕТ № КВИТАНЦИИ; ","")&amp;IF(AND(B384="Расход",H384="",IFERROR(VLOOKUP(D384,Категории!$A$3:$D$27,4,FALSE),"")=""),"УКАЖИТЕ ДОЛЮ; ","")&amp;IF(COUNTIFS($A$5:$A$504,A384,$B$5:$B$504,B384,$C$5:$C$504,C384,$E$5:$E$504,E384)&gt;1,"ВОЗМОЖНЫЙ ДУБЛЬ; ","")&amp;IF(AND(A384&lt;&gt;"",A385&lt;&gt;"",A384&lt;A385),"ПОРЯДОК ДАТ; ",""))</f>
        <v/>
      </c>
      <c r="N384" s="30" t="str">
        <f>IF(A384="","",IF(Настройки_2026!$B$6="ДЕМО",1,IF(I384="ДЕМО",0,1)))</f>
        <v/>
      </c>
    </row>
    <row r="385" spans="1:14" x14ac:dyDescent="0.25">
      <c r="A385" s="26"/>
      <c r="B385" s="27"/>
      <c r="C385" s="27"/>
      <c r="D385" s="27"/>
      <c r="E385" s="28"/>
      <c r="F385" s="27"/>
      <c r="G385" s="27"/>
      <c r="H385" s="29"/>
      <c r="I385" s="27"/>
      <c r="J385" s="27"/>
      <c r="K385" s="30" t="str">
        <f t="shared" si="5"/>
        <v/>
      </c>
      <c r="L385" s="31">
        <f>IF(B385&lt;&gt;"Расход",0,IF(H385&lt;&gt;"",E385*H385,IFERROR(IF(VLOOKUP(D385,Категории!$A$3:$F$27,4,FALSE)="",0,E385*VLOOKUP(D385,Категории!$A$3:$F$27,4,FALSE)),0)))</f>
        <v>0</v>
      </c>
      <c r="M385" s="30" t="str">
        <f>IF(A385="","",IF(NOT(ISNUMBER(A385)),"ДАТА; ","")&amp;IF(NOT(ISNUMBER(E385)),"СУММА; ","")&amp;IF(AND(B385&lt;&gt;"",D385&lt;&gt;"",IFERROR(VLOOKUP(D385,Категории!$A$3:$B$27,2,FALSE),"")&lt;&gt;B385),"ТИП/КАТЕГОРИЯ; ","")&amp;IF(AND(B385="Доход",G385=""),"НЕТ № КВИТАНЦИИ; ","")&amp;IF(AND(B385="Расход",H385="",IFERROR(VLOOKUP(D385,Категории!$A$3:$D$27,4,FALSE),"")=""),"УКАЖИТЕ ДОЛЮ; ","")&amp;IF(COUNTIFS($A$5:$A$504,A385,$B$5:$B$504,B385,$C$5:$C$504,C385,$E$5:$E$504,E385)&gt;1,"ВОЗМОЖНЫЙ ДУБЛЬ; ","")&amp;IF(AND(A385&lt;&gt;"",A386&lt;&gt;"",A385&lt;A386),"ПОРЯДОК ДАТ; ",""))</f>
        <v/>
      </c>
      <c r="N385" s="30" t="str">
        <f>IF(A385="","",IF(Настройки_2026!$B$6="ДЕМО",1,IF(I385="ДЕМО",0,1)))</f>
        <v/>
      </c>
    </row>
    <row r="386" spans="1:14" x14ac:dyDescent="0.25">
      <c r="A386" s="26"/>
      <c r="B386" s="27"/>
      <c r="C386" s="27"/>
      <c r="D386" s="27"/>
      <c r="E386" s="28"/>
      <c r="F386" s="27"/>
      <c r="G386" s="27"/>
      <c r="H386" s="29"/>
      <c r="I386" s="27"/>
      <c r="J386" s="27"/>
      <c r="K386" s="30" t="str">
        <f t="shared" si="5"/>
        <v/>
      </c>
      <c r="L386" s="31">
        <f>IF(B386&lt;&gt;"Расход",0,IF(H386&lt;&gt;"",E386*H386,IFERROR(IF(VLOOKUP(D386,Категории!$A$3:$F$27,4,FALSE)="",0,E386*VLOOKUP(D386,Категории!$A$3:$F$27,4,FALSE)),0)))</f>
        <v>0</v>
      </c>
      <c r="M386" s="30" t="str">
        <f>IF(A386="","",IF(NOT(ISNUMBER(A386)),"ДАТА; ","")&amp;IF(NOT(ISNUMBER(E386)),"СУММА; ","")&amp;IF(AND(B386&lt;&gt;"",D386&lt;&gt;"",IFERROR(VLOOKUP(D386,Категории!$A$3:$B$27,2,FALSE),"")&lt;&gt;B386),"ТИП/КАТЕГОРИЯ; ","")&amp;IF(AND(B386="Доход",G386=""),"НЕТ № КВИТАНЦИИ; ","")&amp;IF(AND(B386="Расход",H386="",IFERROR(VLOOKUP(D386,Категории!$A$3:$D$27,4,FALSE),"")=""),"УКАЖИТЕ ДОЛЮ; ","")&amp;IF(COUNTIFS($A$5:$A$504,A386,$B$5:$B$504,B386,$C$5:$C$504,C386,$E$5:$E$504,E386)&gt;1,"ВОЗМОЖНЫЙ ДУБЛЬ; ","")&amp;IF(AND(A386&lt;&gt;"",A387&lt;&gt;"",A386&lt;A387),"ПОРЯДОК ДАТ; ",""))</f>
        <v/>
      </c>
      <c r="N386" s="30" t="str">
        <f>IF(A386="","",IF(Настройки_2026!$B$6="ДЕМО",1,IF(I386="ДЕМО",0,1)))</f>
        <v/>
      </c>
    </row>
    <row r="387" spans="1:14" x14ac:dyDescent="0.25">
      <c r="A387" s="26"/>
      <c r="B387" s="27"/>
      <c r="C387" s="27"/>
      <c r="D387" s="27"/>
      <c r="E387" s="28"/>
      <c r="F387" s="27"/>
      <c r="G387" s="27"/>
      <c r="H387" s="29"/>
      <c r="I387" s="27"/>
      <c r="J387" s="27"/>
      <c r="K387" s="30" t="str">
        <f t="shared" si="5"/>
        <v/>
      </c>
      <c r="L387" s="31">
        <f>IF(B387&lt;&gt;"Расход",0,IF(H387&lt;&gt;"",E387*H387,IFERROR(IF(VLOOKUP(D387,Категории!$A$3:$F$27,4,FALSE)="",0,E387*VLOOKUP(D387,Категории!$A$3:$F$27,4,FALSE)),0)))</f>
        <v>0</v>
      </c>
      <c r="M387" s="30" t="str">
        <f>IF(A387="","",IF(NOT(ISNUMBER(A387)),"ДАТА; ","")&amp;IF(NOT(ISNUMBER(E387)),"СУММА; ","")&amp;IF(AND(B387&lt;&gt;"",D387&lt;&gt;"",IFERROR(VLOOKUP(D387,Категории!$A$3:$B$27,2,FALSE),"")&lt;&gt;B387),"ТИП/КАТЕГОРИЯ; ","")&amp;IF(AND(B387="Доход",G387=""),"НЕТ № КВИТАНЦИИ; ","")&amp;IF(AND(B387="Расход",H387="",IFERROR(VLOOKUP(D387,Категории!$A$3:$D$27,4,FALSE),"")=""),"УКАЖИТЕ ДОЛЮ; ","")&amp;IF(COUNTIFS($A$5:$A$504,A387,$B$5:$B$504,B387,$C$5:$C$504,C387,$E$5:$E$504,E387)&gt;1,"ВОЗМОЖНЫЙ ДУБЛЬ; ","")&amp;IF(AND(A387&lt;&gt;"",A388&lt;&gt;"",A387&lt;A388),"ПОРЯДОК ДАТ; ",""))</f>
        <v/>
      </c>
      <c r="N387" s="30" t="str">
        <f>IF(A387="","",IF(Настройки_2026!$B$6="ДЕМО",1,IF(I387="ДЕМО",0,1)))</f>
        <v/>
      </c>
    </row>
    <row r="388" spans="1:14" x14ac:dyDescent="0.25">
      <c r="A388" s="26"/>
      <c r="B388" s="27"/>
      <c r="C388" s="27"/>
      <c r="D388" s="27"/>
      <c r="E388" s="28"/>
      <c r="F388" s="27"/>
      <c r="G388" s="27"/>
      <c r="H388" s="29"/>
      <c r="I388" s="27"/>
      <c r="J388" s="27"/>
      <c r="K388" s="30" t="str">
        <f t="shared" si="5"/>
        <v/>
      </c>
      <c r="L388" s="31">
        <f>IF(B388&lt;&gt;"Расход",0,IF(H388&lt;&gt;"",E388*H388,IFERROR(IF(VLOOKUP(D388,Категории!$A$3:$F$27,4,FALSE)="",0,E388*VLOOKUP(D388,Категории!$A$3:$F$27,4,FALSE)),0)))</f>
        <v>0</v>
      </c>
      <c r="M388" s="30" t="str">
        <f>IF(A388="","",IF(NOT(ISNUMBER(A388)),"ДАТА; ","")&amp;IF(NOT(ISNUMBER(E388)),"СУММА; ","")&amp;IF(AND(B388&lt;&gt;"",D388&lt;&gt;"",IFERROR(VLOOKUP(D388,Категории!$A$3:$B$27,2,FALSE),"")&lt;&gt;B388),"ТИП/КАТЕГОРИЯ; ","")&amp;IF(AND(B388="Доход",G388=""),"НЕТ № КВИТАНЦИИ; ","")&amp;IF(AND(B388="Расход",H388="",IFERROR(VLOOKUP(D388,Категории!$A$3:$D$27,4,FALSE),"")=""),"УКАЖИТЕ ДОЛЮ; ","")&amp;IF(COUNTIFS($A$5:$A$504,A388,$B$5:$B$504,B388,$C$5:$C$504,C388,$E$5:$E$504,E388)&gt;1,"ВОЗМОЖНЫЙ ДУБЛЬ; ","")&amp;IF(AND(A388&lt;&gt;"",A389&lt;&gt;"",A388&lt;A389),"ПОРЯДОК ДАТ; ",""))</f>
        <v/>
      </c>
      <c r="N388" s="30" t="str">
        <f>IF(A388="","",IF(Настройки_2026!$B$6="ДЕМО",1,IF(I388="ДЕМО",0,1)))</f>
        <v/>
      </c>
    </row>
    <row r="389" spans="1:14" x14ac:dyDescent="0.25">
      <c r="A389" s="26"/>
      <c r="B389" s="27"/>
      <c r="C389" s="27"/>
      <c r="D389" s="27"/>
      <c r="E389" s="28"/>
      <c r="F389" s="27"/>
      <c r="G389" s="27"/>
      <c r="H389" s="29"/>
      <c r="I389" s="27"/>
      <c r="J389" s="27"/>
      <c r="K389" s="30" t="str">
        <f t="shared" ref="K389:K452" si="6">IF(A389="","",MONTH(A389))</f>
        <v/>
      </c>
      <c r="L389" s="31">
        <f>IF(B389&lt;&gt;"Расход",0,IF(H389&lt;&gt;"",E389*H389,IFERROR(IF(VLOOKUP(D389,Категории!$A$3:$F$27,4,FALSE)="",0,E389*VLOOKUP(D389,Категории!$A$3:$F$27,4,FALSE)),0)))</f>
        <v>0</v>
      </c>
      <c r="M389" s="30" t="str">
        <f>IF(A389="","",IF(NOT(ISNUMBER(A389)),"ДАТА; ","")&amp;IF(NOT(ISNUMBER(E389)),"СУММА; ","")&amp;IF(AND(B389&lt;&gt;"",D389&lt;&gt;"",IFERROR(VLOOKUP(D389,Категории!$A$3:$B$27,2,FALSE),"")&lt;&gt;B389),"ТИП/КАТЕГОРИЯ; ","")&amp;IF(AND(B389="Доход",G389=""),"НЕТ № КВИТАНЦИИ; ","")&amp;IF(AND(B389="Расход",H389="",IFERROR(VLOOKUP(D389,Категории!$A$3:$D$27,4,FALSE),"")=""),"УКАЖИТЕ ДОЛЮ; ","")&amp;IF(COUNTIFS($A$5:$A$504,A389,$B$5:$B$504,B389,$C$5:$C$504,C389,$E$5:$E$504,E389)&gt;1,"ВОЗМОЖНЫЙ ДУБЛЬ; ","")&amp;IF(AND(A389&lt;&gt;"",A390&lt;&gt;"",A389&lt;A390),"ПОРЯДОК ДАТ; ",""))</f>
        <v/>
      </c>
      <c r="N389" s="30" t="str">
        <f>IF(A389="","",IF(Настройки_2026!$B$6="ДЕМО",1,IF(I389="ДЕМО",0,1)))</f>
        <v/>
      </c>
    </row>
    <row r="390" spans="1:14" x14ac:dyDescent="0.25">
      <c r="A390" s="26"/>
      <c r="B390" s="27"/>
      <c r="C390" s="27"/>
      <c r="D390" s="27"/>
      <c r="E390" s="28"/>
      <c r="F390" s="27"/>
      <c r="G390" s="27"/>
      <c r="H390" s="29"/>
      <c r="I390" s="27"/>
      <c r="J390" s="27"/>
      <c r="K390" s="30" t="str">
        <f t="shared" si="6"/>
        <v/>
      </c>
      <c r="L390" s="31">
        <f>IF(B390&lt;&gt;"Расход",0,IF(H390&lt;&gt;"",E390*H390,IFERROR(IF(VLOOKUP(D390,Категории!$A$3:$F$27,4,FALSE)="",0,E390*VLOOKUP(D390,Категории!$A$3:$F$27,4,FALSE)),0)))</f>
        <v>0</v>
      </c>
      <c r="M390" s="30" t="str">
        <f>IF(A390="","",IF(NOT(ISNUMBER(A390)),"ДАТА; ","")&amp;IF(NOT(ISNUMBER(E390)),"СУММА; ","")&amp;IF(AND(B390&lt;&gt;"",D390&lt;&gt;"",IFERROR(VLOOKUP(D390,Категории!$A$3:$B$27,2,FALSE),"")&lt;&gt;B390),"ТИП/КАТЕГОРИЯ; ","")&amp;IF(AND(B390="Доход",G390=""),"НЕТ № КВИТАНЦИИ; ","")&amp;IF(AND(B390="Расход",H390="",IFERROR(VLOOKUP(D390,Категории!$A$3:$D$27,4,FALSE),"")=""),"УКАЖИТЕ ДОЛЮ; ","")&amp;IF(COUNTIFS($A$5:$A$504,A390,$B$5:$B$504,B390,$C$5:$C$504,C390,$E$5:$E$504,E390)&gt;1,"ВОЗМОЖНЫЙ ДУБЛЬ; ","")&amp;IF(AND(A390&lt;&gt;"",A391&lt;&gt;"",A390&lt;A391),"ПОРЯДОК ДАТ; ",""))</f>
        <v/>
      </c>
      <c r="N390" s="30" t="str">
        <f>IF(A390="","",IF(Настройки_2026!$B$6="ДЕМО",1,IF(I390="ДЕМО",0,1)))</f>
        <v/>
      </c>
    </row>
    <row r="391" spans="1:14" x14ac:dyDescent="0.25">
      <c r="A391" s="26"/>
      <c r="B391" s="27"/>
      <c r="C391" s="27"/>
      <c r="D391" s="27"/>
      <c r="E391" s="28"/>
      <c r="F391" s="27"/>
      <c r="G391" s="27"/>
      <c r="H391" s="29"/>
      <c r="I391" s="27"/>
      <c r="J391" s="27"/>
      <c r="K391" s="30" t="str">
        <f t="shared" si="6"/>
        <v/>
      </c>
      <c r="L391" s="31">
        <f>IF(B391&lt;&gt;"Расход",0,IF(H391&lt;&gt;"",E391*H391,IFERROR(IF(VLOOKUP(D391,Категории!$A$3:$F$27,4,FALSE)="",0,E391*VLOOKUP(D391,Категории!$A$3:$F$27,4,FALSE)),0)))</f>
        <v>0</v>
      </c>
      <c r="M391" s="30" t="str">
        <f>IF(A391="","",IF(NOT(ISNUMBER(A391)),"ДАТА; ","")&amp;IF(NOT(ISNUMBER(E391)),"СУММА; ","")&amp;IF(AND(B391&lt;&gt;"",D391&lt;&gt;"",IFERROR(VLOOKUP(D391,Категории!$A$3:$B$27,2,FALSE),"")&lt;&gt;B391),"ТИП/КАТЕГОРИЯ; ","")&amp;IF(AND(B391="Доход",G391=""),"НЕТ № КВИТАНЦИИ; ","")&amp;IF(AND(B391="Расход",H391="",IFERROR(VLOOKUP(D391,Категории!$A$3:$D$27,4,FALSE),"")=""),"УКАЖИТЕ ДОЛЮ; ","")&amp;IF(COUNTIFS($A$5:$A$504,A391,$B$5:$B$504,B391,$C$5:$C$504,C391,$E$5:$E$504,E391)&gt;1,"ВОЗМОЖНЫЙ ДУБЛЬ; ","")&amp;IF(AND(A391&lt;&gt;"",A392&lt;&gt;"",A391&lt;A392),"ПОРЯДОК ДАТ; ",""))</f>
        <v/>
      </c>
      <c r="N391" s="30" t="str">
        <f>IF(A391="","",IF(Настройки_2026!$B$6="ДЕМО",1,IF(I391="ДЕМО",0,1)))</f>
        <v/>
      </c>
    </row>
    <row r="392" spans="1:14" x14ac:dyDescent="0.25">
      <c r="A392" s="26"/>
      <c r="B392" s="27"/>
      <c r="C392" s="27"/>
      <c r="D392" s="27"/>
      <c r="E392" s="28"/>
      <c r="F392" s="27"/>
      <c r="G392" s="27"/>
      <c r="H392" s="29"/>
      <c r="I392" s="27"/>
      <c r="J392" s="27"/>
      <c r="K392" s="30" t="str">
        <f t="shared" si="6"/>
        <v/>
      </c>
      <c r="L392" s="31">
        <f>IF(B392&lt;&gt;"Расход",0,IF(H392&lt;&gt;"",E392*H392,IFERROR(IF(VLOOKUP(D392,Категории!$A$3:$F$27,4,FALSE)="",0,E392*VLOOKUP(D392,Категории!$A$3:$F$27,4,FALSE)),0)))</f>
        <v>0</v>
      </c>
      <c r="M392" s="30" t="str">
        <f>IF(A392="","",IF(NOT(ISNUMBER(A392)),"ДАТА; ","")&amp;IF(NOT(ISNUMBER(E392)),"СУММА; ","")&amp;IF(AND(B392&lt;&gt;"",D392&lt;&gt;"",IFERROR(VLOOKUP(D392,Категории!$A$3:$B$27,2,FALSE),"")&lt;&gt;B392),"ТИП/КАТЕГОРИЯ; ","")&amp;IF(AND(B392="Доход",G392=""),"НЕТ № КВИТАНЦИИ; ","")&amp;IF(AND(B392="Расход",H392="",IFERROR(VLOOKUP(D392,Категории!$A$3:$D$27,4,FALSE),"")=""),"УКАЖИТЕ ДОЛЮ; ","")&amp;IF(COUNTIFS($A$5:$A$504,A392,$B$5:$B$504,B392,$C$5:$C$504,C392,$E$5:$E$504,E392)&gt;1,"ВОЗМОЖНЫЙ ДУБЛЬ; ","")&amp;IF(AND(A392&lt;&gt;"",A393&lt;&gt;"",A392&lt;A393),"ПОРЯДОК ДАТ; ",""))</f>
        <v/>
      </c>
      <c r="N392" s="30" t="str">
        <f>IF(A392="","",IF(Настройки_2026!$B$6="ДЕМО",1,IF(I392="ДЕМО",0,1)))</f>
        <v/>
      </c>
    </row>
    <row r="393" spans="1:14" x14ac:dyDescent="0.25">
      <c r="A393" s="26"/>
      <c r="B393" s="27"/>
      <c r="C393" s="27"/>
      <c r="D393" s="27"/>
      <c r="E393" s="28"/>
      <c r="F393" s="27"/>
      <c r="G393" s="27"/>
      <c r="H393" s="29"/>
      <c r="I393" s="27"/>
      <c r="J393" s="27"/>
      <c r="K393" s="30" t="str">
        <f t="shared" si="6"/>
        <v/>
      </c>
      <c r="L393" s="31">
        <f>IF(B393&lt;&gt;"Расход",0,IF(H393&lt;&gt;"",E393*H393,IFERROR(IF(VLOOKUP(D393,Категории!$A$3:$F$27,4,FALSE)="",0,E393*VLOOKUP(D393,Категории!$A$3:$F$27,4,FALSE)),0)))</f>
        <v>0</v>
      </c>
      <c r="M393" s="30" t="str">
        <f>IF(A393="","",IF(NOT(ISNUMBER(A393)),"ДАТА; ","")&amp;IF(NOT(ISNUMBER(E393)),"СУММА; ","")&amp;IF(AND(B393&lt;&gt;"",D393&lt;&gt;"",IFERROR(VLOOKUP(D393,Категории!$A$3:$B$27,2,FALSE),"")&lt;&gt;B393),"ТИП/КАТЕГОРИЯ; ","")&amp;IF(AND(B393="Доход",G393=""),"НЕТ № КВИТАНЦИИ; ","")&amp;IF(AND(B393="Расход",H393="",IFERROR(VLOOKUP(D393,Категории!$A$3:$D$27,4,FALSE),"")=""),"УКАЖИТЕ ДОЛЮ; ","")&amp;IF(COUNTIFS($A$5:$A$504,A393,$B$5:$B$504,B393,$C$5:$C$504,C393,$E$5:$E$504,E393)&gt;1,"ВОЗМОЖНЫЙ ДУБЛЬ; ","")&amp;IF(AND(A393&lt;&gt;"",A394&lt;&gt;"",A393&lt;A394),"ПОРЯДОК ДАТ; ",""))</f>
        <v/>
      </c>
      <c r="N393" s="30" t="str">
        <f>IF(A393="","",IF(Настройки_2026!$B$6="ДЕМО",1,IF(I393="ДЕМО",0,1)))</f>
        <v/>
      </c>
    </row>
    <row r="394" spans="1:14" x14ac:dyDescent="0.25">
      <c r="A394" s="26"/>
      <c r="B394" s="27"/>
      <c r="C394" s="27"/>
      <c r="D394" s="27"/>
      <c r="E394" s="28"/>
      <c r="F394" s="27"/>
      <c r="G394" s="27"/>
      <c r="H394" s="29"/>
      <c r="I394" s="27"/>
      <c r="J394" s="27"/>
      <c r="K394" s="30" t="str">
        <f t="shared" si="6"/>
        <v/>
      </c>
      <c r="L394" s="31">
        <f>IF(B394&lt;&gt;"Расход",0,IF(H394&lt;&gt;"",E394*H394,IFERROR(IF(VLOOKUP(D394,Категории!$A$3:$F$27,4,FALSE)="",0,E394*VLOOKUP(D394,Категории!$A$3:$F$27,4,FALSE)),0)))</f>
        <v>0</v>
      </c>
      <c r="M394" s="30" t="str">
        <f>IF(A394="","",IF(NOT(ISNUMBER(A394)),"ДАТА; ","")&amp;IF(NOT(ISNUMBER(E394)),"СУММА; ","")&amp;IF(AND(B394&lt;&gt;"",D394&lt;&gt;"",IFERROR(VLOOKUP(D394,Категории!$A$3:$B$27,2,FALSE),"")&lt;&gt;B394),"ТИП/КАТЕГОРИЯ; ","")&amp;IF(AND(B394="Доход",G394=""),"НЕТ № КВИТАНЦИИ; ","")&amp;IF(AND(B394="Расход",H394="",IFERROR(VLOOKUP(D394,Категории!$A$3:$D$27,4,FALSE),"")=""),"УКАЖИТЕ ДОЛЮ; ","")&amp;IF(COUNTIFS($A$5:$A$504,A394,$B$5:$B$504,B394,$C$5:$C$504,C394,$E$5:$E$504,E394)&gt;1,"ВОЗМОЖНЫЙ ДУБЛЬ; ","")&amp;IF(AND(A394&lt;&gt;"",A395&lt;&gt;"",A394&lt;A395),"ПОРЯДОК ДАТ; ",""))</f>
        <v/>
      </c>
      <c r="N394" s="30" t="str">
        <f>IF(A394="","",IF(Настройки_2026!$B$6="ДЕМО",1,IF(I394="ДЕМО",0,1)))</f>
        <v/>
      </c>
    </row>
    <row r="395" spans="1:14" x14ac:dyDescent="0.25">
      <c r="A395" s="26"/>
      <c r="B395" s="27"/>
      <c r="C395" s="27"/>
      <c r="D395" s="27"/>
      <c r="E395" s="28"/>
      <c r="F395" s="27"/>
      <c r="G395" s="27"/>
      <c r="H395" s="29"/>
      <c r="I395" s="27"/>
      <c r="J395" s="27"/>
      <c r="K395" s="30" t="str">
        <f t="shared" si="6"/>
        <v/>
      </c>
      <c r="L395" s="31">
        <f>IF(B395&lt;&gt;"Расход",0,IF(H395&lt;&gt;"",E395*H395,IFERROR(IF(VLOOKUP(D395,Категории!$A$3:$F$27,4,FALSE)="",0,E395*VLOOKUP(D395,Категории!$A$3:$F$27,4,FALSE)),0)))</f>
        <v>0</v>
      </c>
      <c r="M395" s="30" t="str">
        <f>IF(A395="","",IF(NOT(ISNUMBER(A395)),"ДАТА; ","")&amp;IF(NOT(ISNUMBER(E395)),"СУММА; ","")&amp;IF(AND(B395&lt;&gt;"",D395&lt;&gt;"",IFERROR(VLOOKUP(D395,Категории!$A$3:$B$27,2,FALSE),"")&lt;&gt;B395),"ТИП/КАТЕГОРИЯ; ","")&amp;IF(AND(B395="Доход",G395=""),"НЕТ № КВИТАНЦИИ; ","")&amp;IF(AND(B395="Расход",H395="",IFERROR(VLOOKUP(D395,Категории!$A$3:$D$27,4,FALSE),"")=""),"УКАЖИТЕ ДОЛЮ; ","")&amp;IF(COUNTIFS($A$5:$A$504,A395,$B$5:$B$504,B395,$C$5:$C$504,C395,$E$5:$E$504,E395)&gt;1,"ВОЗМОЖНЫЙ ДУБЛЬ; ","")&amp;IF(AND(A395&lt;&gt;"",A396&lt;&gt;"",A395&lt;A396),"ПОРЯДОК ДАТ; ",""))</f>
        <v/>
      </c>
      <c r="N395" s="30" t="str">
        <f>IF(A395="","",IF(Настройки_2026!$B$6="ДЕМО",1,IF(I395="ДЕМО",0,1)))</f>
        <v/>
      </c>
    </row>
    <row r="396" spans="1:14" x14ac:dyDescent="0.25">
      <c r="A396" s="26"/>
      <c r="B396" s="27"/>
      <c r="C396" s="27"/>
      <c r="D396" s="27"/>
      <c r="E396" s="28"/>
      <c r="F396" s="27"/>
      <c r="G396" s="27"/>
      <c r="H396" s="29"/>
      <c r="I396" s="27"/>
      <c r="J396" s="27"/>
      <c r="K396" s="30" t="str">
        <f t="shared" si="6"/>
        <v/>
      </c>
      <c r="L396" s="31">
        <f>IF(B396&lt;&gt;"Расход",0,IF(H396&lt;&gt;"",E396*H396,IFERROR(IF(VLOOKUP(D396,Категории!$A$3:$F$27,4,FALSE)="",0,E396*VLOOKUP(D396,Категории!$A$3:$F$27,4,FALSE)),0)))</f>
        <v>0</v>
      </c>
      <c r="M396" s="30" t="str">
        <f>IF(A396="","",IF(NOT(ISNUMBER(A396)),"ДАТА; ","")&amp;IF(NOT(ISNUMBER(E396)),"СУММА; ","")&amp;IF(AND(B396&lt;&gt;"",D396&lt;&gt;"",IFERROR(VLOOKUP(D396,Категории!$A$3:$B$27,2,FALSE),"")&lt;&gt;B396),"ТИП/КАТЕГОРИЯ; ","")&amp;IF(AND(B396="Доход",G396=""),"НЕТ № КВИТАНЦИИ; ","")&amp;IF(AND(B396="Расход",H396="",IFERROR(VLOOKUP(D396,Категории!$A$3:$D$27,4,FALSE),"")=""),"УКАЖИТЕ ДОЛЮ; ","")&amp;IF(COUNTIFS($A$5:$A$504,A396,$B$5:$B$504,B396,$C$5:$C$504,C396,$E$5:$E$504,E396)&gt;1,"ВОЗМОЖНЫЙ ДУБЛЬ; ","")&amp;IF(AND(A396&lt;&gt;"",A397&lt;&gt;"",A396&lt;A397),"ПОРЯДОК ДАТ; ",""))</f>
        <v/>
      </c>
      <c r="N396" s="30" t="str">
        <f>IF(A396="","",IF(Настройки_2026!$B$6="ДЕМО",1,IF(I396="ДЕМО",0,1)))</f>
        <v/>
      </c>
    </row>
    <row r="397" spans="1:14" x14ac:dyDescent="0.25">
      <c r="A397" s="26"/>
      <c r="B397" s="27"/>
      <c r="C397" s="27"/>
      <c r="D397" s="27"/>
      <c r="E397" s="28"/>
      <c r="F397" s="27"/>
      <c r="G397" s="27"/>
      <c r="H397" s="29"/>
      <c r="I397" s="27"/>
      <c r="J397" s="27"/>
      <c r="K397" s="30" t="str">
        <f t="shared" si="6"/>
        <v/>
      </c>
      <c r="L397" s="31">
        <f>IF(B397&lt;&gt;"Расход",0,IF(H397&lt;&gt;"",E397*H397,IFERROR(IF(VLOOKUP(D397,Категории!$A$3:$F$27,4,FALSE)="",0,E397*VLOOKUP(D397,Категории!$A$3:$F$27,4,FALSE)),0)))</f>
        <v>0</v>
      </c>
      <c r="M397" s="30" t="str">
        <f>IF(A397="","",IF(NOT(ISNUMBER(A397)),"ДАТА; ","")&amp;IF(NOT(ISNUMBER(E397)),"СУММА; ","")&amp;IF(AND(B397&lt;&gt;"",D397&lt;&gt;"",IFERROR(VLOOKUP(D397,Категории!$A$3:$B$27,2,FALSE),"")&lt;&gt;B397),"ТИП/КАТЕГОРИЯ; ","")&amp;IF(AND(B397="Доход",G397=""),"НЕТ № КВИТАНЦИИ; ","")&amp;IF(AND(B397="Расход",H397="",IFERROR(VLOOKUP(D397,Категории!$A$3:$D$27,4,FALSE),"")=""),"УКАЖИТЕ ДОЛЮ; ","")&amp;IF(COUNTIFS($A$5:$A$504,A397,$B$5:$B$504,B397,$C$5:$C$504,C397,$E$5:$E$504,E397)&gt;1,"ВОЗМОЖНЫЙ ДУБЛЬ; ","")&amp;IF(AND(A397&lt;&gt;"",A398&lt;&gt;"",A397&lt;A398),"ПОРЯДОК ДАТ; ",""))</f>
        <v/>
      </c>
      <c r="N397" s="30" t="str">
        <f>IF(A397="","",IF(Настройки_2026!$B$6="ДЕМО",1,IF(I397="ДЕМО",0,1)))</f>
        <v/>
      </c>
    </row>
    <row r="398" spans="1:14" x14ac:dyDescent="0.25">
      <c r="A398" s="26"/>
      <c r="B398" s="27"/>
      <c r="C398" s="27"/>
      <c r="D398" s="27"/>
      <c r="E398" s="28"/>
      <c r="F398" s="27"/>
      <c r="G398" s="27"/>
      <c r="H398" s="29"/>
      <c r="I398" s="27"/>
      <c r="J398" s="27"/>
      <c r="K398" s="30" t="str">
        <f t="shared" si="6"/>
        <v/>
      </c>
      <c r="L398" s="31">
        <f>IF(B398&lt;&gt;"Расход",0,IF(H398&lt;&gt;"",E398*H398,IFERROR(IF(VLOOKUP(D398,Категории!$A$3:$F$27,4,FALSE)="",0,E398*VLOOKUP(D398,Категории!$A$3:$F$27,4,FALSE)),0)))</f>
        <v>0</v>
      </c>
      <c r="M398" s="30" t="str">
        <f>IF(A398="","",IF(NOT(ISNUMBER(A398)),"ДАТА; ","")&amp;IF(NOT(ISNUMBER(E398)),"СУММА; ","")&amp;IF(AND(B398&lt;&gt;"",D398&lt;&gt;"",IFERROR(VLOOKUP(D398,Категории!$A$3:$B$27,2,FALSE),"")&lt;&gt;B398),"ТИП/КАТЕГОРИЯ; ","")&amp;IF(AND(B398="Доход",G398=""),"НЕТ № КВИТАНЦИИ; ","")&amp;IF(AND(B398="Расход",H398="",IFERROR(VLOOKUP(D398,Категории!$A$3:$D$27,4,FALSE),"")=""),"УКАЖИТЕ ДОЛЮ; ","")&amp;IF(COUNTIFS($A$5:$A$504,A398,$B$5:$B$504,B398,$C$5:$C$504,C398,$E$5:$E$504,E398)&gt;1,"ВОЗМОЖНЫЙ ДУБЛЬ; ","")&amp;IF(AND(A398&lt;&gt;"",A399&lt;&gt;"",A398&lt;A399),"ПОРЯДОК ДАТ; ",""))</f>
        <v/>
      </c>
      <c r="N398" s="30" t="str">
        <f>IF(A398="","",IF(Настройки_2026!$B$6="ДЕМО",1,IF(I398="ДЕМО",0,1)))</f>
        <v/>
      </c>
    </row>
    <row r="399" spans="1:14" x14ac:dyDescent="0.25">
      <c r="A399" s="26"/>
      <c r="B399" s="27"/>
      <c r="C399" s="27"/>
      <c r="D399" s="27"/>
      <c r="E399" s="28"/>
      <c r="F399" s="27"/>
      <c r="G399" s="27"/>
      <c r="H399" s="29"/>
      <c r="I399" s="27"/>
      <c r="J399" s="27"/>
      <c r="K399" s="30" t="str">
        <f t="shared" si="6"/>
        <v/>
      </c>
      <c r="L399" s="31">
        <f>IF(B399&lt;&gt;"Расход",0,IF(H399&lt;&gt;"",E399*H399,IFERROR(IF(VLOOKUP(D399,Категории!$A$3:$F$27,4,FALSE)="",0,E399*VLOOKUP(D399,Категории!$A$3:$F$27,4,FALSE)),0)))</f>
        <v>0</v>
      </c>
      <c r="M399" s="30" t="str">
        <f>IF(A399="","",IF(NOT(ISNUMBER(A399)),"ДАТА; ","")&amp;IF(NOT(ISNUMBER(E399)),"СУММА; ","")&amp;IF(AND(B399&lt;&gt;"",D399&lt;&gt;"",IFERROR(VLOOKUP(D399,Категории!$A$3:$B$27,2,FALSE),"")&lt;&gt;B399),"ТИП/КАТЕГОРИЯ; ","")&amp;IF(AND(B399="Доход",G399=""),"НЕТ № КВИТАНЦИИ; ","")&amp;IF(AND(B399="Расход",H399="",IFERROR(VLOOKUP(D399,Категории!$A$3:$D$27,4,FALSE),"")=""),"УКАЖИТЕ ДОЛЮ; ","")&amp;IF(COUNTIFS($A$5:$A$504,A399,$B$5:$B$504,B399,$C$5:$C$504,C399,$E$5:$E$504,E399)&gt;1,"ВОЗМОЖНЫЙ ДУБЛЬ; ","")&amp;IF(AND(A399&lt;&gt;"",A400&lt;&gt;"",A399&lt;A400),"ПОРЯДОК ДАТ; ",""))</f>
        <v/>
      </c>
      <c r="N399" s="30" t="str">
        <f>IF(A399="","",IF(Настройки_2026!$B$6="ДЕМО",1,IF(I399="ДЕМО",0,1)))</f>
        <v/>
      </c>
    </row>
    <row r="400" spans="1:14" x14ac:dyDescent="0.25">
      <c r="A400" s="26"/>
      <c r="B400" s="27"/>
      <c r="C400" s="27"/>
      <c r="D400" s="27"/>
      <c r="E400" s="28"/>
      <c r="F400" s="27"/>
      <c r="G400" s="27"/>
      <c r="H400" s="29"/>
      <c r="I400" s="27"/>
      <c r="J400" s="27"/>
      <c r="K400" s="30" t="str">
        <f t="shared" si="6"/>
        <v/>
      </c>
      <c r="L400" s="31">
        <f>IF(B400&lt;&gt;"Расход",0,IF(H400&lt;&gt;"",E400*H400,IFERROR(IF(VLOOKUP(D400,Категории!$A$3:$F$27,4,FALSE)="",0,E400*VLOOKUP(D400,Категории!$A$3:$F$27,4,FALSE)),0)))</f>
        <v>0</v>
      </c>
      <c r="M400" s="30" t="str">
        <f>IF(A400="","",IF(NOT(ISNUMBER(A400)),"ДАТА; ","")&amp;IF(NOT(ISNUMBER(E400)),"СУММА; ","")&amp;IF(AND(B400&lt;&gt;"",D400&lt;&gt;"",IFERROR(VLOOKUP(D400,Категории!$A$3:$B$27,2,FALSE),"")&lt;&gt;B400),"ТИП/КАТЕГОРИЯ; ","")&amp;IF(AND(B400="Доход",G400=""),"НЕТ № КВИТАНЦИИ; ","")&amp;IF(AND(B400="Расход",H400="",IFERROR(VLOOKUP(D400,Категории!$A$3:$D$27,4,FALSE),"")=""),"УКАЖИТЕ ДОЛЮ; ","")&amp;IF(COUNTIFS($A$5:$A$504,A400,$B$5:$B$504,B400,$C$5:$C$504,C400,$E$5:$E$504,E400)&gt;1,"ВОЗМОЖНЫЙ ДУБЛЬ; ","")&amp;IF(AND(A400&lt;&gt;"",A401&lt;&gt;"",A400&lt;A401),"ПОРЯДОК ДАТ; ",""))</f>
        <v/>
      </c>
      <c r="N400" s="30" t="str">
        <f>IF(A400="","",IF(Настройки_2026!$B$6="ДЕМО",1,IF(I400="ДЕМО",0,1)))</f>
        <v/>
      </c>
    </row>
    <row r="401" spans="1:14" x14ac:dyDescent="0.25">
      <c r="A401" s="26"/>
      <c r="B401" s="27"/>
      <c r="C401" s="27"/>
      <c r="D401" s="27"/>
      <c r="E401" s="28"/>
      <c r="F401" s="27"/>
      <c r="G401" s="27"/>
      <c r="H401" s="29"/>
      <c r="I401" s="27"/>
      <c r="J401" s="27"/>
      <c r="K401" s="30" t="str">
        <f t="shared" si="6"/>
        <v/>
      </c>
      <c r="L401" s="31">
        <f>IF(B401&lt;&gt;"Расход",0,IF(H401&lt;&gt;"",E401*H401,IFERROR(IF(VLOOKUP(D401,Категории!$A$3:$F$27,4,FALSE)="",0,E401*VLOOKUP(D401,Категории!$A$3:$F$27,4,FALSE)),0)))</f>
        <v>0</v>
      </c>
      <c r="M401" s="30" t="str">
        <f>IF(A401="","",IF(NOT(ISNUMBER(A401)),"ДАТА; ","")&amp;IF(NOT(ISNUMBER(E401)),"СУММА; ","")&amp;IF(AND(B401&lt;&gt;"",D401&lt;&gt;"",IFERROR(VLOOKUP(D401,Категории!$A$3:$B$27,2,FALSE),"")&lt;&gt;B401),"ТИП/КАТЕГОРИЯ; ","")&amp;IF(AND(B401="Доход",G401=""),"НЕТ № КВИТАНЦИИ; ","")&amp;IF(AND(B401="Расход",H401="",IFERROR(VLOOKUP(D401,Категории!$A$3:$D$27,4,FALSE),"")=""),"УКАЖИТЕ ДОЛЮ; ","")&amp;IF(COUNTIFS($A$5:$A$504,A401,$B$5:$B$504,B401,$C$5:$C$504,C401,$E$5:$E$504,E401)&gt;1,"ВОЗМОЖНЫЙ ДУБЛЬ; ","")&amp;IF(AND(A401&lt;&gt;"",A402&lt;&gt;"",A401&lt;A402),"ПОРЯДОК ДАТ; ",""))</f>
        <v/>
      </c>
      <c r="N401" s="30" t="str">
        <f>IF(A401="","",IF(Настройки_2026!$B$6="ДЕМО",1,IF(I401="ДЕМО",0,1)))</f>
        <v/>
      </c>
    </row>
    <row r="402" spans="1:14" x14ac:dyDescent="0.25">
      <c r="A402" s="26"/>
      <c r="B402" s="27"/>
      <c r="C402" s="27"/>
      <c r="D402" s="27"/>
      <c r="E402" s="28"/>
      <c r="F402" s="27"/>
      <c r="G402" s="27"/>
      <c r="H402" s="29"/>
      <c r="I402" s="27"/>
      <c r="J402" s="27"/>
      <c r="K402" s="30" t="str">
        <f t="shared" si="6"/>
        <v/>
      </c>
      <c r="L402" s="31">
        <f>IF(B402&lt;&gt;"Расход",0,IF(H402&lt;&gt;"",E402*H402,IFERROR(IF(VLOOKUP(D402,Категории!$A$3:$F$27,4,FALSE)="",0,E402*VLOOKUP(D402,Категории!$A$3:$F$27,4,FALSE)),0)))</f>
        <v>0</v>
      </c>
      <c r="M402" s="30" t="str">
        <f>IF(A402="","",IF(NOT(ISNUMBER(A402)),"ДАТА; ","")&amp;IF(NOT(ISNUMBER(E402)),"СУММА; ","")&amp;IF(AND(B402&lt;&gt;"",D402&lt;&gt;"",IFERROR(VLOOKUP(D402,Категории!$A$3:$B$27,2,FALSE),"")&lt;&gt;B402),"ТИП/КАТЕГОРИЯ; ","")&amp;IF(AND(B402="Доход",G402=""),"НЕТ № КВИТАНЦИИ; ","")&amp;IF(AND(B402="Расход",H402="",IFERROR(VLOOKUP(D402,Категории!$A$3:$D$27,4,FALSE),"")=""),"УКАЖИТЕ ДОЛЮ; ","")&amp;IF(COUNTIFS($A$5:$A$504,A402,$B$5:$B$504,B402,$C$5:$C$504,C402,$E$5:$E$504,E402)&gt;1,"ВОЗМОЖНЫЙ ДУБЛЬ; ","")&amp;IF(AND(A402&lt;&gt;"",A403&lt;&gt;"",A402&lt;A403),"ПОРЯДОК ДАТ; ",""))</f>
        <v/>
      </c>
      <c r="N402" s="30" t="str">
        <f>IF(A402="","",IF(Настройки_2026!$B$6="ДЕМО",1,IF(I402="ДЕМО",0,1)))</f>
        <v/>
      </c>
    </row>
    <row r="403" spans="1:14" x14ac:dyDescent="0.25">
      <c r="A403" s="26"/>
      <c r="B403" s="27"/>
      <c r="C403" s="27"/>
      <c r="D403" s="27"/>
      <c r="E403" s="28"/>
      <c r="F403" s="27"/>
      <c r="G403" s="27"/>
      <c r="H403" s="29"/>
      <c r="I403" s="27"/>
      <c r="J403" s="27"/>
      <c r="K403" s="30" t="str">
        <f t="shared" si="6"/>
        <v/>
      </c>
      <c r="L403" s="31">
        <f>IF(B403&lt;&gt;"Расход",0,IF(H403&lt;&gt;"",E403*H403,IFERROR(IF(VLOOKUP(D403,Категории!$A$3:$F$27,4,FALSE)="",0,E403*VLOOKUP(D403,Категории!$A$3:$F$27,4,FALSE)),0)))</f>
        <v>0</v>
      </c>
      <c r="M403" s="30" t="str">
        <f>IF(A403="","",IF(NOT(ISNUMBER(A403)),"ДАТА; ","")&amp;IF(NOT(ISNUMBER(E403)),"СУММА; ","")&amp;IF(AND(B403&lt;&gt;"",D403&lt;&gt;"",IFERROR(VLOOKUP(D403,Категории!$A$3:$B$27,2,FALSE),"")&lt;&gt;B403),"ТИП/КАТЕГОРИЯ; ","")&amp;IF(AND(B403="Доход",G403=""),"НЕТ № КВИТАНЦИИ; ","")&amp;IF(AND(B403="Расход",H403="",IFERROR(VLOOKUP(D403,Категории!$A$3:$D$27,4,FALSE),"")=""),"УКАЖИТЕ ДОЛЮ; ","")&amp;IF(COUNTIFS($A$5:$A$504,A403,$B$5:$B$504,B403,$C$5:$C$504,C403,$E$5:$E$504,E403)&gt;1,"ВОЗМОЖНЫЙ ДУБЛЬ; ","")&amp;IF(AND(A403&lt;&gt;"",A404&lt;&gt;"",A403&lt;A404),"ПОРЯДОК ДАТ; ",""))</f>
        <v/>
      </c>
      <c r="N403" s="30" t="str">
        <f>IF(A403="","",IF(Настройки_2026!$B$6="ДЕМО",1,IF(I403="ДЕМО",0,1)))</f>
        <v/>
      </c>
    </row>
    <row r="404" spans="1:14" x14ac:dyDescent="0.25">
      <c r="A404" s="26"/>
      <c r="B404" s="27"/>
      <c r="C404" s="27"/>
      <c r="D404" s="27"/>
      <c r="E404" s="28"/>
      <c r="F404" s="27"/>
      <c r="G404" s="27"/>
      <c r="H404" s="29"/>
      <c r="I404" s="27"/>
      <c r="J404" s="27"/>
      <c r="K404" s="30" t="str">
        <f t="shared" si="6"/>
        <v/>
      </c>
      <c r="L404" s="31">
        <f>IF(B404&lt;&gt;"Расход",0,IF(H404&lt;&gt;"",E404*H404,IFERROR(IF(VLOOKUP(D404,Категории!$A$3:$F$27,4,FALSE)="",0,E404*VLOOKUP(D404,Категории!$A$3:$F$27,4,FALSE)),0)))</f>
        <v>0</v>
      </c>
      <c r="M404" s="30" t="str">
        <f>IF(A404="","",IF(NOT(ISNUMBER(A404)),"ДАТА; ","")&amp;IF(NOT(ISNUMBER(E404)),"СУММА; ","")&amp;IF(AND(B404&lt;&gt;"",D404&lt;&gt;"",IFERROR(VLOOKUP(D404,Категории!$A$3:$B$27,2,FALSE),"")&lt;&gt;B404),"ТИП/КАТЕГОРИЯ; ","")&amp;IF(AND(B404="Доход",G404=""),"НЕТ № КВИТАНЦИИ; ","")&amp;IF(AND(B404="Расход",H404="",IFERROR(VLOOKUP(D404,Категории!$A$3:$D$27,4,FALSE),"")=""),"УКАЖИТЕ ДОЛЮ; ","")&amp;IF(COUNTIFS($A$5:$A$504,A404,$B$5:$B$504,B404,$C$5:$C$504,C404,$E$5:$E$504,E404)&gt;1,"ВОЗМОЖНЫЙ ДУБЛЬ; ","")&amp;IF(AND(A404&lt;&gt;"",A405&lt;&gt;"",A404&lt;A405),"ПОРЯДОК ДАТ; ",""))</f>
        <v/>
      </c>
      <c r="N404" s="30" t="str">
        <f>IF(A404="","",IF(Настройки_2026!$B$6="ДЕМО",1,IF(I404="ДЕМО",0,1)))</f>
        <v/>
      </c>
    </row>
    <row r="405" spans="1:14" x14ac:dyDescent="0.25">
      <c r="A405" s="26"/>
      <c r="B405" s="27"/>
      <c r="C405" s="27"/>
      <c r="D405" s="27"/>
      <c r="E405" s="28"/>
      <c r="F405" s="27"/>
      <c r="G405" s="27"/>
      <c r="H405" s="29"/>
      <c r="I405" s="27"/>
      <c r="J405" s="27"/>
      <c r="K405" s="30" t="str">
        <f t="shared" si="6"/>
        <v/>
      </c>
      <c r="L405" s="31">
        <f>IF(B405&lt;&gt;"Расход",0,IF(H405&lt;&gt;"",E405*H405,IFERROR(IF(VLOOKUP(D405,Категории!$A$3:$F$27,4,FALSE)="",0,E405*VLOOKUP(D405,Категории!$A$3:$F$27,4,FALSE)),0)))</f>
        <v>0</v>
      </c>
      <c r="M405" s="30" t="str">
        <f>IF(A405="","",IF(NOT(ISNUMBER(A405)),"ДАТА; ","")&amp;IF(NOT(ISNUMBER(E405)),"СУММА; ","")&amp;IF(AND(B405&lt;&gt;"",D405&lt;&gt;"",IFERROR(VLOOKUP(D405,Категории!$A$3:$B$27,2,FALSE),"")&lt;&gt;B405),"ТИП/КАТЕГОРИЯ; ","")&amp;IF(AND(B405="Доход",G405=""),"НЕТ № КВИТАНЦИИ; ","")&amp;IF(AND(B405="Расход",H405="",IFERROR(VLOOKUP(D405,Категории!$A$3:$D$27,4,FALSE),"")=""),"УКАЖИТЕ ДОЛЮ; ","")&amp;IF(COUNTIFS($A$5:$A$504,A405,$B$5:$B$504,B405,$C$5:$C$504,C405,$E$5:$E$504,E405)&gt;1,"ВОЗМОЖНЫЙ ДУБЛЬ; ","")&amp;IF(AND(A405&lt;&gt;"",A406&lt;&gt;"",A405&lt;A406),"ПОРЯДОК ДАТ; ",""))</f>
        <v/>
      </c>
      <c r="N405" s="30" t="str">
        <f>IF(A405="","",IF(Настройки_2026!$B$6="ДЕМО",1,IF(I405="ДЕМО",0,1)))</f>
        <v/>
      </c>
    </row>
    <row r="406" spans="1:14" x14ac:dyDescent="0.25">
      <c r="A406" s="26"/>
      <c r="B406" s="27"/>
      <c r="C406" s="27"/>
      <c r="D406" s="27"/>
      <c r="E406" s="28"/>
      <c r="F406" s="27"/>
      <c r="G406" s="27"/>
      <c r="H406" s="29"/>
      <c r="I406" s="27"/>
      <c r="J406" s="27"/>
      <c r="K406" s="30" t="str">
        <f t="shared" si="6"/>
        <v/>
      </c>
      <c r="L406" s="31">
        <f>IF(B406&lt;&gt;"Расход",0,IF(H406&lt;&gt;"",E406*H406,IFERROR(IF(VLOOKUP(D406,Категории!$A$3:$F$27,4,FALSE)="",0,E406*VLOOKUP(D406,Категории!$A$3:$F$27,4,FALSE)),0)))</f>
        <v>0</v>
      </c>
      <c r="M406" s="30" t="str">
        <f>IF(A406="","",IF(NOT(ISNUMBER(A406)),"ДАТА; ","")&amp;IF(NOT(ISNUMBER(E406)),"СУММА; ","")&amp;IF(AND(B406&lt;&gt;"",D406&lt;&gt;"",IFERROR(VLOOKUP(D406,Категории!$A$3:$B$27,2,FALSE),"")&lt;&gt;B406),"ТИП/КАТЕГОРИЯ; ","")&amp;IF(AND(B406="Доход",G406=""),"НЕТ № КВИТАНЦИИ; ","")&amp;IF(AND(B406="Расход",H406="",IFERROR(VLOOKUP(D406,Категории!$A$3:$D$27,4,FALSE),"")=""),"УКАЖИТЕ ДОЛЮ; ","")&amp;IF(COUNTIFS($A$5:$A$504,A406,$B$5:$B$504,B406,$C$5:$C$504,C406,$E$5:$E$504,E406)&gt;1,"ВОЗМОЖНЫЙ ДУБЛЬ; ","")&amp;IF(AND(A406&lt;&gt;"",A407&lt;&gt;"",A406&lt;A407),"ПОРЯДОК ДАТ; ",""))</f>
        <v/>
      </c>
      <c r="N406" s="30" t="str">
        <f>IF(A406="","",IF(Настройки_2026!$B$6="ДЕМО",1,IF(I406="ДЕМО",0,1)))</f>
        <v/>
      </c>
    </row>
    <row r="407" spans="1:14" x14ac:dyDescent="0.25">
      <c r="A407" s="26"/>
      <c r="B407" s="27"/>
      <c r="C407" s="27"/>
      <c r="D407" s="27"/>
      <c r="E407" s="28"/>
      <c r="F407" s="27"/>
      <c r="G407" s="27"/>
      <c r="H407" s="29"/>
      <c r="I407" s="27"/>
      <c r="J407" s="27"/>
      <c r="K407" s="30" t="str">
        <f t="shared" si="6"/>
        <v/>
      </c>
      <c r="L407" s="31">
        <f>IF(B407&lt;&gt;"Расход",0,IF(H407&lt;&gt;"",E407*H407,IFERROR(IF(VLOOKUP(D407,Категории!$A$3:$F$27,4,FALSE)="",0,E407*VLOOKUP(D407,Категории!$A$3:$F$27,4,FALSE)),0)))</f>
        <v>0</v>
      </c>
      <c r="M407" s="30" t="str">
        <f>IF(A407="","",IF(NOT(ISNUMBER(A407)),"ДАТА; ","")&amp;IF(NOT(ISNUMBER(E407)),"СУММА; ","")&amp;IF(AND(B407&lt;&gt;"",D407&lt;&gt;"",IFERROR(VLOOKUP(D407,Категории!$A$3:$B$27,2,FALSE),"")&lt;&gt;B407),"ТИП/КАТЕГОРИЯ; ","")&amp;IF(AND(B407="Доход",G407=""),"НЕТ № КВИТАНЦИИ; ","")&amp;IF(AND(B407="Расход",H407="",IFERROR(VLOOKUP(D407,Категории!$A$3:$D$27,4,FALSE),"")=""),"УКАЖИТЕ ДОЛЮ; ","")&amp;IF(COUNTIFS($A$5:$A$504,A407,$B$5:$B$504,B407,$C$5:$C$504,C407,$E$5:$E$504,E407)&gt;1,"ВОЗМОЖНЫЙ ДУБЛЬ; ","")&amp;IF(AND(A407&lt;&gt;"",A408&lt;&gt;"",A407&lt;A408),"ПОРЯДОК ДАТ; ",""))</f>
        <v/>
      </c>
      <c r="N407" s="30" t="str">
        <f>IF(A407="","",IF(Настройки_2026!$B$6="ДЕМО",1,IF(I407="ДЕМО",0,1)))</f>
        <v/>
      </c>
    </row>
    <row r="408" spans="1:14" x14ac:dyDescent="0.25">
      <c r="A408" s="26"/>
      <c r="B408" s="27"/>
      <c r="C408" s="27"/>
      <c r="D408" s="27"/>
      <c r="E408" s="28"/>
      <c r="F408" s="27"/>
      <c r="G408" s="27"/>
      <c r="H408" s="29"/>
      <c r="I408" s="27"/>
      <c r="J408" s="27"/>
      <c r="K408" s="30" t="str">
        <f t="shared" si="6"/>
        <v/>
      </c>
      <c r="L408" s="31">
        <f>IF(B408&lt;&gt;"Расход",0,IF(H408&lt;&gt;"",E408*H408,IFERROR(IF(VLOOKUP(D408,Категории!$A$3:$F$27,4,FALSE)="",0,E408*VLOOKUP(D408,Категории!$A$3:$F$27,4,FALSE)),0)))</f>
        <v>0</v>
      </c>
      <c r="M408" s="30" t="str">
        <f>IF(A408="","",IF(NOT(ISNUMBER(A408)),"ДАТА; ","")&amp;IF(NOT(ISNUMBER(E408)),"СУММА; ","")&amp;IF(AND(B408&lt;&gt;"",D408&lt;&gt;"",IFERROR(VLOOKUP(D408,Категории!$A$3:$B$27,2,FALSE),"")&lt;&gt;B408),"ТИП/КАТЕГОРИЯ; ","")&amp;IF(AND(B408="Доход",G408=""),"НЕТ № КВИТАНЦИИ; ","")&amp;IF(AND(B408="Расход",H408="",IFERROR(VLOOKUP(D408,Категории!$A$3:$D$27,4,FALSE),"")=""),"УКАЖИТЕ ДОЛЮ; ","")&amp;IF(COUNTIFS($A$5:$A$504,A408,$B$5:$B$504,B408,$C$5:$C$504,C408,$E$5:$E$504,E408)&gt;1,"ВОЗМОЖНЫЙ ДУБЛЬ; ","")&amp;IF(AND(A408&lt;&gt;"",A409&lt;&gt;"",A408&lt;A409),"ПОРЯДОК ДАТ; ",""))</f>
        <v/>
      </c>
      <c r="N408" s="30" t="str">
        <f>IF(A408="","",IF(Настройки_2026!$B$6="ДЕМО",1,IF(I408="ДЕМО",0,1)))</f>
        <v/>
      </c>
    </row>
    <row r="409" spans="1:14" x14ac:dyDescent="0.25">
      <c r="A409" s="26"/>
      <c r="B409" s="27"/>
      <c r="C409" s="27"/>
      <c r="D409" s="27"/>
      <c r="E409" s="28"/>
      <c r="F409" s="27"/>
      <c r="G409" s="27"/>
      <c r="H409" s="29"/>
      <c r="I409" s="27"/>
      <c r="J409" s="27"/>
      <c r="K409" s="30" t="str">
        <f t="shared" si="6"/>
        <v/>
      </c>
      <c r="L409" s="31">
        <f>IF(B409&lt;&gt;"Расход",0,IF(H409&lt;&gt;"",E409*H409,IFERROR(IF(VLOOKUP(D409,Категории!$A$3:$F$27,4,FALSE)="",0,E409*VLOOKUP(D409,Категории!$A$3:$F$27,4,FALSE)),0)))</f>
        <v>0</v>
      </c>
      <c r="M409" s="30" t="str">
        <f>IF(A409="","",IF(NOT(ISNUMBER(A409)),"ДАТА; ","")&amp;IF(NOT(ISNUMBER(E409)),"СУММА; ","")&amp;IF(AND(B409&lt;&gt;"",D409&lt;&gt;"",IFERROR(VLOOKUP(D409,Категории!$A$3:$B$27,2,FALSE),"")&lt;&gt;B409),"ТИП/КАТЕГОРИЯ; ","")&amp;IF(AND(B409="Доход",G409=""),"НЕТ № КВИТАНЦИИ; ","")&amp;IF(AND(B409="Расход",H409="",IFERROR(VLOOKUP(D409,Категории!$A$3:$D$27,4,FALSE),"")=""),"УКАЖИТЕ ДОЛЮ; ","")&amp;IF(COUNTIFS($A$5:$A$504,A409,$B$5:$B$504,B409,$C$5:$C$504,C409,$E$5:$E$504,E409)&gt;1,"ВОЗМОЖНЫЙ ДУБЛЬ; ","")&amp;IF(AND(A409&lt;&gt;"",A410&lt;&gt;"",A409&lt;A410),"ПОРЯДОК ДАТ; ",""))</f>
        <v/>
      </c>
      <c r="N409" s="30" t="str">
        <f>IF(A409="","",IF(Настройки_2026!$B$6="ДЕМО",1,IF(I409="ДЕМО",0,1)))</f>
        <v/>
      </c>
    </row>
    <row r="410" spans="1:14" x14ac:dyDescent="0.25">
      <c r="A410" s="26"/>
      <c r="B410" s="27"/>
      <c r="C410" s="27"/>
      <c r="D410" s="27"/>
      <c r="E410" s="28"/>
      <c r="F410" s="27"/>
      <c r="G410" s="27"/>
      <c r="H410" s="29"/>
      <c r="I410" s="27"/>
      <c r="J410" s="27"/>
      <c r="K410" s="30" t="str">
        <f t="shared" si="6"/>
        <v/>
      </c>
      <c r="L410" s="31">
        <f>IF(B410&lt;&gt;"Расход",0,IF(H410&lt;&gt;"",E410*H410,IFERROR(IF(VLOOKUP(D410,Категории!$A$3:$F$27,4,FALSE)="",0,E410*VLOOKUP(D410,Категории!$A$3:$F$27,4,FALSE)),0)))</f>
        <v>0</v>
      </c>
      <c r="M410" s="30" t="str">
        <f>IF(A410="","",IF(NOT(ISNUMBER(A410)),"ДАТА; ","")&amp;IF(NOT(ISNUMBER(E410)),"СУММА; ","")&amp;IF(AND(B410&lt;&gt;"",D410&lt;&gt;"",IFERROR(VLOOKUP(D410,Категории!$A$3:$B$27,2,FALSE),"")&lt;&gt;B410),"ТИП/КАТЕГОРИЯ; ","")&amp;IF(AND(B410="Доход",G410=""),"НЕТ № КВИТАНЦИИ; ","")&amp;IF(AND(B410="Расход",H410="",IFERROR(VLOOKUP(D410,Категории!$A$3:$D$27,4,FALSE),"")=""),"УКАЖИТЕ ДОЛЮ; ","")&amp;IF(COUNTIFS($A$5:$A$504,A410,$B$5:$B$504,B410,$C$5:$C$504,C410,$E$5:$E$504,E410)&gt;1,"ВОЗМОЖНЫЙ ДУБЛЬ; ","")&amp;IF(AND(A410&lt;&gt;"",A411&lt;&gt;"",A410&lt;A411),"ПОРЯДОК ДАТ; ",""))</f>
        <v/>
      </c>
      <c r="N410" s="30" t="str">
        <f>IF(A410="","",IF(Настройки_2026!$B$6="ДЕМО",1,IF(I410="ДЕМО",0,1)))</f>
        <v/>
      </c>
    </row>
    <row r="411" spans="1:14" x14ac:dyDescent="0.25">
      <c r="A411" s="26"/>
      <c r="B411" s="27"/>
      <c r="C411" s="27"/>
      <c r="D411" s="27"/>
      <c r="E411" s="28"/>
      <c r="F411" s="27"/>
      <c r="G411" s="27"/>
      <c r="H411" s="29"/>
      <c r="I411" s="27"/>
      <c r="J411" s="27"/>
      <c r="K411" s="30" t="str">
        <f t="shared" si="6"/>
        <v/>
      </c>
      <c r="L411" s="31">
        <f>IF(B411&lt;&gt;"Расход",0,IF(H411&lt;&gt;"",E411*H411,IFERROR(IF(VLOOKUP(D411,Категории!$A$3:$F$27,4,FALSE)="",0,E411*VLOOKUP(D411,Категории!$A$3:$F$27,4,FALSE)),0)))</f>
        <v>0</v>
      </c>
      <c r="M411" s="30" t="str">
        <f>IF(A411="","",IF(NOT(ISNUMBER(A411)),"ДАТА; ","")&amp;IF(NOT(ISNUMBER(E411)),"СУММА; ","")&amp;IF(AND(B411&lt;&gt;"",D411&lt;&gt;"",IFERROR(VLOOKUP(D411,Категории!$A$3:$B$27,2,FALSE),"")&lt;&gt;B411),"ТИП/КАТЕГОРИЯ; ","")&amp;IF(AND(B411="Доход",G411=""),"НЕТ № КВИТАНЦИИ; ","")&amp;IF(AND(B411="Расход",H411="",IFERROR(VLOOKUP(D411,Категории!$A$3:$D$27,4,FALSE),"")=""),"УКАЖИТЕ ДОЛЮ; ","")&amp;IF(COUNTIFS($A$5:$A$504,A411,$B$5:$B$504,B411,$C$5:$C$504,C411,$E$5:$E$504,E411)&gt;1,"ВОЗМОЖНЫЙ ДУБЛЬ; ","")&amp;IF(AND(A411&lt;&gt;"",A412&lt;&gt;"",A411&lt;A412),"ПОРЯДОК ДАТ; ",""))</f>
        <v/>
      </c>
      <c r="N411" s="30" t="str">
        <f>IF(A411="","",IF(Настройки_2026!$B$6="ДЕМО",1,IF(I411="ДЕМО",0,1)))</f>
        <v/>
      </c>
    </row>
    <row r="412" spans="1:14" x14ac:dyDescent="0.25">
      <c r="A412" s="26"/>
      <c r="B412" s="27"/>
      <c r="C412" s="27"/>
      <c r="D412" s="27"/>
      <c r="E412" s="28"/>
      <c r="F412" s="27"/>
      <c r="G412" s="27"/>
      <c r="H412" s="29"/>
      <c r="I412" s="27"/>
      <c r="J412" s="27"/>
      <c r="K412" s="30" t="str">
        <f t="shared" si="6"/>
        <v/>
      </c>
      <c r="L412" s="31">
        <f>IF(B412&lt;&gt;"Расход",0,IF(H412&lt;&gt;"",E412*H412,IFERROR(IF(VLOOKUP(D412,Категории!$A$3:$F$27,4,FALSE)="",0,E412*VLOOKUP(D412,Категории!$A$3:$F$27,4,FALSE)),0)))</f>
        <v>0</v>
      </c>
      <c r="M412" s="30" t="str">
        <f>IF(A412="","",IF(NOT(ISNUMBER(A412)),"ДАТА; ","")&amp;IF(NOT(ISNUMBER(E412)),"СУММА; ","")&amp;IF(AND(B412&lt;&gt;"",D412&lt;&gt;"",IFERROR(VLOOKUP(D412,Категории!$A$3:$B$27,2,FALSE),"")&lt;&gt;B412),"ТИП/КАТЕГОРИЯ; ","")&amp;IF(AND(B412="Доход",G412=""),"НЕТ № КВИТАНЦИИ; ","")&amp;IF(AND(B412="Расход",H412="",IFERROR(VLOOKUP(D412,Категории!$A$3:$D$27,4,FALSE),"")=""),"УКАЖИТЕ ДОЛЮ; ","")&amp;IF(COUNTIFS($A$5:$A$504,A412,$B$5:$B$504,B412,$C$5:$C$504,C412,$E$5:$E$504,E412)&gt;1,"ВОЗМОЖНЫЙ ДУБЛЬ; ","")&amp;IF(AND(A412&lt;&gt;"",A413&lt;&gt;"",A412&lt;A413),"ПОРЯДОК ДАТ; ",""))</f>
        <v/>
      </c>
      <c r="N412" s="30" t="str">
        <f>IF(A412="","",IF(Настройки_2026!$B$6="ДЕМО",1,IF(I412="ДЕМО",0,1)))</f>
        <v/>
      </c>
    </row>
    <row r="413" spans="1:14" x14ac:dyDescent="0.25">
      <c r="A413" s="26"/>
      <c r="B413" s="27"/>
      <c r="C413" s="27"/>
      <c r="D413" s="27"/>
      <c r="E413" s="28"/>
      <c r="F413" s="27"/>
      <c r="G413" s="27"/>
      <c r="H413" s="29"/>
      <c r="I413" s="27"/>
      <c r="J413" s="27"/>
      <c r="K413" s="30" t="str">
        <f t="shared" si="6"/>
        <v/>
      </c>
      <c r="L413" s="31">
        <f>IF(B413&lt;&gt;"Расход",0,IF(H413&lt;&gt;"",E413*H413,IFERROR(IF(VLOOKUP(D413,Категории!$A$3:$F$27,4,FALSE)="",0,E413*VLOOKUP(D413,Категории!$A$3:$F$27,4,FALSE)),0)))</f>
        <v>0</v>
      </c>
      <c r="M413" s="30" t="str">
        <f>IF(A413="","",IF(NOT(ISNUMBER(A413)),"ДАТА; ","")&amp;IF(NOT(ISNUMBER(E413)),"СУММА; ","")&amp;IF(AND(B413&lt;&gt;"",D413&lt;&gt;"",IFERROR(VLOOKUP(D413,Категории!$A$3:$B$27,2,FALSE),"")&lt;&gt;B413),"ТИП/КАТЕГОРИЯ; ","")&amp;IF(AND(B413="Доход",G413=""),"НЕТ № КВИТАНЦИИ; ","")&amp;IF(AND(B413="Расход",H413="",IFERROR(VLOOKUP(D413,Категории!$A$3:$D$27,4,FALSE),"")=""),"УКАЖИТЕ ДОЛЮ; ","")&amp;IF(COUNTIFS($A$5:$A$504,A413,$B$5:$B$504,B413,$C$5:$C$504,C413,$E$5:$E$504,E413)&gt;1,"ВОЗМОЖНЫЙ ДУБЛЬ; ","")&amp;IF(AND(A413&lt;&gt;"",A414&lt;&gt;"",A413&lt;A414),"ПОРЯДОК ДАТ; ",""))</f>
        <v/>
      </c>
      <c r="N413" s="30" t="str">
        <f>IF(A413="","",IF(Настройки_2026!$B$6="ДЕМО",1,IF(I413="ДЕМО",0,1)))</f>
        <v/>
      </c>
    </row>
    <row r="414" spans="1:14" x14ac:dyDescent="0.25">
      <c r="A414" s="26"/>
      <c r="B414" s="27"/>
      <c r="C414" s="27"/>
      <c r="D414" s="27"/>
      <c r="E414" s="28"/>
      <c r="F414" s="27"/>
      <c r="G414" s="27"/>
      <c r="H414" s="29"/>
      <c r="I414" s="27"/>
      <c r="J414" s="27"/>
      <c r="K414" s="30" t="str">
        <f t="shared" si="6"/>
        <v/>
      </c>
      <c r="L414" s="31">
        <f>IF(B414&lt;&gt;"Расход",0,IF(H414&lt;&gt;"",E414*H414,IFERROR(IF(VLOOKUP(D414,Категории!$A$3:$F$27,4,FALSE)="",0,E414*VLOOKUP(D414,Категории!$A$3:$F$27,4,FALSE)),0)))</f>
        <v>0</v>
      </c>
      <c r="M414" s="30" t="str">
        <f>IF(A414="","",IF(NOT(ISNUMBER(A414)),"ДАТА; ","")&amp;IF(NOT(ISNUMBER(E414)),"СУММА; ","")&amp;IF(AND(B414&lt;&gt;"",D414&lt;&gt;"",IFERROR(VLOOKUP(D414,Категории!$A$3:$B$27,2,FALSE),"")&lt;&gt;B414),"ТИП/КАТЕГОРИЯ; ","")&amp;IF(AND(B414="Доход",G414=""),"НЕТ № КВИТАНЦИИ; ","")&amp;IF(AND(B414="Расход",H414="",IFERROR(VLOOKUP(D414,Категории!$A$3:$D$27,4,FALSE),"")=""),"УКАЖИТЕ ДОЛЮ; ","")&amp;IF(COUNTIFS($A$5:$A$504,A414,$B$5:$B$504,B414,$C$5:$C$504,C414,$E$5:$E$504,E414)&gt;1,"ВОЗМОЖНЫЙ ДУБЛЬ; ","")&amp;IF(AND(A414&lt;&gt;"",A415&lt;&gt;"",A414&lt;A415),"ПОРЯДОК ДАТ; ",""))</f>
        <v/>
      </c>
      <c r="N414" s="30" t="str">
        <f>IF(A414="","",IF(Настройки_2026!$B$6="ДЕМО",1,IF(I414="ДЕМО",0,1)))</f>
        <v/>
      </c>
    </row>
    <row r="415" spans="1:14" x14ac:dyDescent="0.25">
      <c r="A415" s="26"/>
      <c r="B415" s="27"/>
      <c r="C415" s="27"/>
      <c r="D415" s="27"/>
      <c r="E415" s="28"/>
      <c r="F415" s="27"/>
      <c r="G415" s="27"/>
      <c r="H415" s="29"/>
      <c r="I415" s="27"/>
      <c r="J415" s="27"/>
      <c r="K415" s="30" t="str">
        <f t="shared" si="6"/>
        <v/>
      </c>
      <c r="L415" s="31">
        <f>IF(B415&lt;&gt;"Расход",0,IF(H415&lt;&gt;"",E415*H415,IFERROR(IF(VLOOKUP(D415,Категории!$A$3:$F$27,4,FALSE)="",0,E415*VLOOKUP(D415,Категории!$A$3:$F$27,4,FALSE)),0)))</f>
        <v>0</v>
      </c>
      <c r="M415" s="30" t="str">
        <f>IF(A415="","",IF(NOT(ISNUMBER(A415)),"ДАТА; ","")&amp;IF(NOT(ISNUMBER(E415)),"СУММА; ","")&amp;IF(AND(B415&lt;&gt;"",D415&lt;&gt;"",IFERROR(VLOOKUP(D415,Категории!$A$3:$B$27,2,FALSE),"")&lt;&gt;B415),"ТИП/КАТЕГОРИЯ; ","")&amp;IF(AND(B415="Доход",G415=""),"НЕТ № КВИТАНЦИИ; ","")&amp;IF(AND(B415="Расход",H415="",IFERROR(VLOOKUP(D415,Категории!$A$3:$D$27,4,FALSE),"")=""),"УКАЖИТЕ ДОЛЮ; ","")&amp;IF(COUNTIFS($A$5:$A$504,A415,$B$5:$B$504,B415,$C$5:$C$504,C415,$E$5:$E$504,E415)&gt;1,"ВОЗМОЖНЫЙ ДУБЛЬ; ","")&amp;IF(AND(A415&lt;&gt;"",A416&lt;&gt;"",A415&lt;A416),"ПОРЯДОК ДАТ; ",""))</f>
        <v/>
      </c>
      <c r="N415" s="30" t="str">
        <f>IF(A415="","",IF(Настройки_2026!$B$6="ДЕМО",1,IF(I415="ДЕМО",0,1)))</f>
        <v/>
      </c>
    </row>
    <row r="416" spans="1:14" x14ac:dyDescent="0.25">
      <c r="A416" s="26"/>
      <c r="B416" s="27"/>
      <c r="C416" s="27"/>
      <c r="D416" s="27"/>
      <c r="E416" s="28"/>
      <c r="F416" s="27"/>
      <c r="G416" s="27"/>
      <c r="H416" s="29"/>
      <c r="I416" s="27"/>
      <c r="J416" s="27"/>
      <c r="K416" s="30" t="str">
        <f t="shared" si="6"/>
        <v/>
      </c>
      <c r="L416" s="31">
        <f>IF(B416&lt;&gt;"Расход",0,IF(H416&lt;&gt;"",E416*H416,IFERROR(IF(VLOOKUP(D416,Категории!$A$3:$F$27,4,FALSE)="",0,E416*VLOOKUP(D416,Категории!$A$3:$F$27,4,FALSE)),0)))</f>
        <v>0</v>
      </c>
      <c r="M416" s="30" t="str">
        <f>IF(A416="","",IF(NOT(ISNUMBER(A416)),"ДАТА; ","")&amp;IF(NOT(ISNUMBER(E416)),"СУММА; ","")&amp;IF(AND(B416&lt;&gt;"",D416&lt;&gt;"",IFERROR(VLOOKUP(D416,Категории!$A$3:$B$27,2,FALSE),"")&lt;&gt;B416),"ТИП/КАТЕГОРИЯ; ","")&amp;IF(AND(B416="Доход",G416=""),"НЕТ № КВИТАНЦИИ; ","")&amp;IF(AND(B416="Расход",H416="",IFERROR(VLOOKUP(D416,Категории!$A$3:$D$27,4,FALSE),"")=""),"УКАЖИТЕ ДОЛЮ; ","")&amp;IF(COUNTIFS($A$5:$A$504,A416,$B$5:$B$504,B416,$C$5:$C$504,C416,$E$5:$E$504,E416)&gt;1,"ВОЗМОЖНЫЙ ДУБЛЬ; ","")&amp;IF(AND(A416&lt;&gt;"",A417&lt;&gt;"",A416&lt;A417),"ПОРЯДОК ДАТ; ",""))</f>
        <v/>
      </c>
      <c r="N416" s="30" t="str">
        <f>IF(A416="","",IF(Настройки_2026!$B$6="ДЕМО",1,IF(I416="ДЕМО",0,1)))</f>
        <v/>
      </c>
    </row>
    <row r="417" spans="1:14" x14ac:dyDescent="0.25">
      <c r="A417" s="26"/>
      <c r="B417" s="27"/>
      <c r="C417" s="27"/>
      <c r="D417" s="27"/>
      <c r="E417" s="28"/>
      <c r="F417" s="27"/>
      <c r="G417" s="27"/>
      <c r="H417" s="29"/>
      <c r="I417" s="27"/>
      <c r="J417" s="27"/>
      <c r="K417" s="30" t="str">
        <f t="shared" si="6"/>
        <v/>
      </c>
      <c r="L417" s="31">
        <f>IF(B417&lt;&gt;"Расход",0,IF(H417&lt;&gt;"",E417*H417,IFERROR(IF(VLOOKUP(D417,Категории!$A$3:$F$27,4,FALSE)="",0,E417*VLOOKUP(D417,Категории!$A$3:$F$27,4,FALSE)),0)))</f>
        <v>0</v>
      </c>
      <c r="M417" s="30" t="str">
        <f>IF(A417="","",IF(NOT(ISNUMBER(A417)),"ДАТА; ","")&amp;IF(NOT(ISNUMBER(E417)),"СУММА; ","")&amp;IF(AND(B417&lt;&gt;"",D417&lt;&gt;"",IFERROR(VLOOKUP(D417,Категории!$A$3:$B$27,2,FALSE),"")&lt;&gt;B417),"ТИП/КАТЕГОРИЯ; ","")&amp;IF(AND(B417="Доход",G417=""),"НЕТ № КВИТАНЦИИ; ","")&amp;IF(AND(B417="Расход",H417="",IFERROR(VLOOKUP(D417,Категории!$A$3:$D$27,4,FALSE),"")=""),"УКАЖИТЕ ДОЛЮ; ","")&amp;IF(COUNTIFS($A$5:$A$504,A417,$B$5:$B$504,B417,$C$5:$C$504,C417,$E$5:$E$504,E417)&gt;1,"ВОЗМОЖНЫЙ ДУБЛЬ; ","")&amp;IF(AND(A417&lt;&gt;"",A418&lt;&gt;"",A417&lt;A418),"ПОРЯДОК ДАТ; ",""))</f>
        <v/>
      </c>
      <c r="N417" s="30" t="str">
        <f>IF(A417="","",IF(Настройки_2026!$B$6="ДЕМО",1,IF(I417="ДЕМО",0,1)))</f>
        <v/>
      </c>
    </row>
    <row r="418" spans="1:14" x14ac:dyDescent="0.25">
      <c r="A418" s="26"/>
      <c r="B418" s="27"/>
      <c r="C418" s="27"/>
      <c r="D418" s="27"/>
      <c r="E418" s="28"/>
      <c r="F418" s="27"/>
      <c r="G418" s="27"/>
      <c r="H418" s="29"/>
      <c r="I418" s="27"/>
      <c r="J418" s="27"/>
      <c r="K418" s="30" t="str">
        <f t="shared" si="6"/>
        <v/>
      </c>
      <c r="L418" s="31">
        <f>IF(B418&lt;&gt;"Расход",0,IF(H418&lt;&gt;"",E418*H418,IFERROR(IF(VLOOKUP(D418,Категории!$A$3:$F$27,4,FALSE)="",0,E418*VLOOKUP(D418,Категории!$A$3:$F$27,4,FALSE)),0)))</f>
        <v>0</v>
      </c>
      <c r="M418" s="30" t="str">
        <f>IF(A418="","",IF(NOT(ISNUMBER(A418)),"ДАТА; ","")&amp;IF(NOT(ISNUMBER(E418)),"СУММА; ","")&amp;IF(AND(B418&lt;&gt;"",D418&lt;&gt;"",IFERROR(VLOOKUP(D418,Категории!$A$3:$B$27,2,FALSE),"")&lt;&gt;B418),"ТИП/КАТЕГОРИЯ; ","")&amp;IF(AND(B418="Доход",G418=""),"НЕТ № КВИТАНЦИИ; ","")&amp;IF(AND(B418="Расход",H418="",IFERROR(VLOOKUP(D418,Категории!$A$3:$D$27,4,FALSE),"")=""),"УКАЖИТЕ ДОЛЮ; ","")&amp;IF(COUNTIFS($A$5:$A$504,A418,$B$5:$B$504,B418,$C$5:$C$504,C418,$E$5:$E$504,E418)&gt;1,"ВОЗМОЖНЫЙ ДУБЛЬ; ","")&amp;IF(AND(A418&lt;&gt;"",A419&lt;&gt;"",A418&lt;A419),"ПОРЯДОК ДАТ; ",""))</f>
        <v/>
      </c>
      <c r="N418" s="30" t="str">
        <f>IF(A418="","",IF(Настройки_2026!$B$6="ДЕМО",1,IF(I418="ДЕМО",0,1)))</f>
        <v/>
      </c>
    </row>
    <row r="419" spans="1:14" x14ac:dyDescent="0.25">
      <c r="A419" s="26"/>
      <c r="B419" s="27"/>
      <c r="C419" s="27"/>
      <c r="D419" s="27"/>
      <c r="E419" s="28"/>
      <c r="F419" s="27"/>
      <c r="G419" s="27"/>
      <c r="H419" s="29"/>
      <c r="I419" s="27"/>
      <c r="J419" s="27"/>
      <c r="K419" s="30" t="str">
        <f t="shared" si="6"/>
        <v/>
      </c>
      <c r="L419" s="31">
        <f>IF(B419&lt;&gt;"Расход",0,IF(H419&lt;&gt;"",E419*H419,IFERROR(IF(VLOOKUP(D419,Категории!$A$3:$F$27,4,FALSE)="",0,E419*VLOOKUP(D419,Категории!$A$3:$F$27,4,FALSE)),0)))</f>
        <v>0</v>
      </c>
      <c r="M419" s="30" t="str">
        <f>IF(A419="","",IF(NOT(ISNUMBER(A419)),"ДАТА; ","")&amp;IF(NOT(ISNUMBER(E419)),"СУММА; ","")&amp;IF(AND(B419&lt;&gt;"",D419&lt;&gt;"",IFERROR(VLOOKUP(D419,Категории!$A$3:$B$27,2,FALSE),"")&lt;&gt;B419),"ТИП/КАТЕГОРИЯ; ","")&amp;IF(AND(B419="Доход",G419=""),"НЕТ № КВИТАНЦИИ; ","")&amp;IF(AND(B419="Расход",H419="",IFERROR(VLOOKUP(D419,Категории!$A$3:$D$27,4,FALSE),"")=""),"УКАЖИТЕ ДОЛЮ; ","")&amp;IF(COUNTIFS($A$5:$A$504,A419,$B$5:$B$504,B419,$C$5:$C$504,C419,$E$5:$E$504,E419)&gt;1,"ВОЗМОЖНЫЙ ДУБЛЬ; ","")&amp;IF(AND(A419&lt;&gt;"",A420&lt;&gt;"",A419&lt;A420),"ПОРЯДОК ДАТ; ",""))</f>
        <v/>
      </c>
      <c r="N419" s="30" t="str">
        <f>IF(A419="","",IF(Настройки_2026!$B$6="ДЕМО",1,IF(I419="ДЕМО",0,1)))</f>
        <v/>
      </c>
    </row>
    <row r="420" spans="1:14" x14ac:dyDescent="0.25">
      <c r="A420" s="26"/>
      <c r="B420" s="27"/>
      <c r="C420" s="27"/>
      <c r="D420" s="27"/>
      <c r="E420" s="28"/>
      <c r="F420" s="27"/>
      <c r="G420" s="27"/>
      <c r="H420" s="29"/>
      <c r="I420" s="27"/>
      <c r="J420" s="27"/>
      <c r="K420" s="30" t="str">
        <f t="shared" si="6"/>
        <v/>
      </c>
      <c r="L420" s="31">
        <f>IF(B420&lt;&gt;"Расход",0,IF(H420&lt;&gt;"",E420*H420,IFERROR(IF(VLOOKUP(D420,Категории!$A$3:$F$27,4,FALSE)="",0,E420*VLOOKUP(D420,Категории!$A$3:$F$27,4,FALSE)),0)))</f>
        <v>0</v>
      </c>
      <c r="M420" s="30" t="str">
        <f>IF(A420="","",IF(NOT(ISNUMBER(A420)),"ДАТА; ","")&amp;IF(NOT(ISNUMBER(E420)),"СУММА; ","")&amp;IF(AND(B420&lt;&gt;"",D420&lt;&gt;"",IFERROR(VLOOKUP(D420,Категории!$A$3:$B$27,2,FALSE),"")&lt;&gt;B420),"ТИП/КАТЕГОРИЯ; ","")&amp;IF(AND(B420="Доход",G420=""),"НЕТ № КВИТАНЦИИ; ","")&amp;IF(AND(B420="Расход",H420="",IFERROR(VLOOKUP(D420,Категории!$A$3:$D$27,4,FALSE),"")=""),"УКАЖИТЕ ДОЛЮ; ","")&amp;IF(COUNTIFS($A$5:$A$504,A420,$B$5:$B$504,B420,$C$5:$C$504,C420,$E$5:$E$504,E420)&gt;1,"ВОЗМОЖНЫЙ ДУБЛЬ; ","")&amp;IF(AND(A420&lt;&gt;"",A421&lt;&gt;"",A420&lt;A421),"ПОРЯДОК ДАТ; ",""))</f>
        <v/>
      </c>
      <c r="N420" s="30" t="str">
        <f>IF(A420="","",IF(Настройки_2026!$B$6="ДЕМО",1,IF(I420="ДЕМО",0,1)))</f>
        <v/>
      </c>
    </row>
    <row r="421" spans="1:14" x14ac:dyDescent="0.25">
      <c r="A421" s="26"/>
      <c r="B421" s="27"/>
      <c r="C421" s="27"/>
      <c r="D421" s="27"/>
      <c r="E421" s="28"/>
      <c r="F421" s="27"/>
      <c r="G421" s="27"/>
      <c r="H421" s="29"/>
      <c r="I421" s="27"/>
      <c r="J421" s="27"/>
      <c r="K421" s="30" t="str">
        <f t="shared" si="6"/>
        <v/>
      </c>
      <c r="L421" s="31">
        <f>IF(B421&lt;&gt;"Расход",0,IF(H421&lt;&gt;"",E421*H421,IFERROR(IF(VLOOKUP(D421,Категории!$A$3:$F$27,4,FALSE)="",0,E421*VLOOKUP(D421,Категории!$A$3:$F$27,4,FALSE)),0)))</f>
        <v>0</v>
      </c>
      <c r="M421" s="30" t="str">
        <f>IF(A421="","",IF(NOT(ISNUMBER(A421)),"ДАТА; ","")&amp;IF(NOT(ISNUMBER(E421)),"СУММА; ","")&amp;IF(AND(B421&lt;&gt;"",D421&lt;&gt;"",IFERROR(VLOOKUP(D421,Категории!$A$3:$B$27,2,FALSE),"")&lt;&gt;B421),"ТИП/КАТЕГОРИЯ; ","")&amp;IF(AND(B421="Доход",G421=""),"НЕТ № КВИТАНЦИИ; ","")&amp;IF(AND(B421="Расход",H421="",IFERROR(VLOOKUP(D421,Категории!$A$3:$D$27,4,FALSE),"")=""),"УКАЖИТЕ ДОЛЮ; ","")&amp;IF(COUNTIFS($A$5:$A$504,A421,$B$5:$B$504,B421,$C$5:$C$504,C421,$E$5:$E$504,E421)&gt;1,"ВОЗМОЖНЫЙ ДУБЛЬ; ","")&amp;IF(AND(A421&lt;&gt;"",A422&lt;&gt;"",A421&lt;A422),"ПОРЯДОК ДАТ; ",""))</f>
        <v/>
      </c>
      <c r="N421" s="30" t="str">
        <f>IF(A421="","",IF(Настройки_2026!$B$6="ДЕМО",1,IF(I421="ДЕМО",0,1)))</f>
        <v/>
      </c>
    </row>
    <row r="422" spans="1:14" x14ac:dyDescent="0.25">
      <c r="A422" s="26"/>
      <c r="B422" s="27"/>
      <c r="C422" s="27"/>
      <c r="D422" s="27"/>
      <c r="E422" s="28"/>
      <c r="F422" s="27"/>
      <c r="G422" s="27"/>
      <c r="H422" s="29"/>
      <c r="I422" s="27"/>
      <c r="J422" s="27"/>
      <c r="K422" s="30" t="str">
        <f t="shared" si="6"/>
        <v/>
      </c>
      <c r="L422" s="31">
        <f>IF(B422&lt;&gt;"Расход",0,IF(H422&lt;&gt;"",E422*H422,IFERROR(IF(VLOOKUP(D422,Категории!$A$3:$F$27,4,FALSE)="",0,E422*VLOOKUP(D422,Категории!$A$3:$F$27,4,FALSE)),0)))</f>
        <v>0</v>
      </c>
      <c r="M422" s="30" t="str">
        <f>IF(A422="","",IF(NOT(ISNUMBER(A422)),"ДАТА; ","")&amp;IF(NOT(ISNUMBER(E422)),"СУММА; ","")&amp;IF(AND(B422&lt;&gt;"",D422&lt;&gt;"",IFERROR(VLOOKUP(D422,Категории!$A$3:$B$27,2,FALSE),"")&lt;&gt;B422),"ТИП/КАТЕГОРИЯ; ","")&amp;IF(AND(B422="Доход",G422=""),"НЕТ № КВИТАНЦИИ; ","")&amp;IF(AND(B422="Расход",H422="",IFERROR(VLOOKUP(D422,Категории!$A$3:$D$27,4,FALSE),"")=""),"УКАЖИТЕ ДОЛЮ; ","")&amp;IF(COUNTIFS($A$5:$A$504,A422,$B$5:$B$504,B422,$C$5:$C$504,C422,$E$5:$E$504,E422)&gt;1,"ВОЗМОЖНЫЙ ДУБЛЬ; ","")&amp;IF(AND(A422&lt;&gt;"",A423&lt;&gt;"",A422&lt;A423),"ПОРЯДОК ДАТ; ",""))</f>
        <v/>
      </c>
      <c r="N422" s="30" t="str">
        <f>IF(A422="","",IF(Настройки_2026!$B$6="ДЕМО",1,IF(I422="ДЕМО",0,1)))</f>
        <v/>
      </c>
    </row>
    <row r="423" spans="1:14" x14ac:dyDescent="0.25">
      <c r="A423" s="26"/>
      <c r="B423" s="27"/>
      <c r="C423" s="27"/>
      <c r="D423" s="27"/>
      <c r="E423" s="28"/>
      <c r="F423" s="27"/>
      <c r="G423" s="27"/>
      <c r="H423" s="29"/>
      <c r="I423" s="27"/>
      <c r="J423" s="27"/>
      <c r="K423" s="30" t="str">
        <f t="shared" si="6"/>
        <v/>
      </c>
      <c r="L423" s="31">
        <f>IF(B423&lt;&gt;"Расход",0,IF(H423&lt;&gt;"",E423*H423,IFERROR(IF(VLOOKUP(D423,Категории!$A$3:$F$27,4,FALSE)="",0,E423*VLOOKUP(D423,Категории!$A$3:$F$27,4,FALSE)),0)))</f>
        <v>0</v>
      </c>
      <c r="M423" s="30" t="str">
        <f>IF(A423="","",IF(NOT(ISNUMBER(A423)),"ДАТА; ","")&amp;IF(NOT(ISNUMBER(E423)),"СУММА; ","")&amp;IF(AND(B423&lt;&gt;"",D423&lt;&gt;"",IFERROR(VLOOKUP(D423,Категории!$A$3:$B$27,2,FALSE),"")&lt;&gt;B423),"ТИП/КАТЕГОРИЯ; ","")&amp;IF(AND(B423="Доход",G423=""),"НЕТ № КВИТАНЦИИ; ","")&amp;IF(AND(B423="Расход",H423="",IFERROR(VLOOKUP(D423,Категории!$A$3:$D$27,4,FALSE),"")=""),"УКАЖИТЕ ДОЛЮ; ","")&amp;IF(COUNTIFS($A$5:$A$504,A423,$B$5:$B$504,B423,$C$5:$C$504,C423,$E$5:$E$504,E423)&gt;1,"ВОЗМОЖНЫЙ ДУБЛЬ; ","")&amp;IF(AND(A423&lt;&gt;"",A424&lt;&gt;"",A423&lt;A424),"ПОРЯДОК ДАТ; ",""))</f>
        <v/>
      </c>
      <c r="N423" s="30" t="str">
        <f>IF(A423="","",IF(Настройки_2026!$B$6="ДЕМО",1,IF(I423="ДЕМО",0,1)))</f>
        <v/>
      </c>
    </row>
    <row r="424" spans="1:14" x14ac:dyDescent="0.25">
      <c r="A424" s="26"/>
      <c r="B424" s="27"/>
      <c r="C424" s="27"/>
      <c r="D424" s="27"/>
      <c r="E424" s="28"/>
      <c r="F424" s="27"/>
      <c r="G424" s="27"/>
      <c r="H424" s="29"/>
      <c r="I424" s="27"/>
      <c r="J424" s="27"/>
      <c r="K424" s="30" t="str">
        <f t="shared" si="6"/>
        <v/>
      </c>
      <c r="L424" s="31">
        <f>IF(B424&lt;&gt;"Расход",0,IF(H424&lt;&gt;"",E424*H424,IFERROR(IF(VLOOKUP(D424,Категории!$A$3:$F$27,4,FALSE)="",0,E424*VLOOKUP(D424,Категории!$A$3:$F$27,4,FALSE)),0)))</f>
        <v>0</v>
      </c>
      <c r="M424" s="30" t="str">
        <f>IF(A424="","",IF(NOT(ISNUMBER(A424)),"ДАТА; ","")&amp;IF(NOT(ISNUMBER(E424)),"СУММА; ","")&amp;IF(AND(B424&lt;&gt;"",D424&lt;&gt;"",IFERROR(VLOOKUP(D424,Категории!$A$3:$B$27,2,FALSE),"")&lt;&gt;B424),"ТИП/КАТЕГОРИЯ; ","")&amp;IF(AND(B424="Доход",G424=""),"НЕТ № КВИТАНЦИИ; ","")&amp;IF(AND(B424="Расход",H424="",IFERROR(VLOOKUP(D424,Категории!$A$3:$D$27,4,FALSE),"")=""),"УКАЖИТЕ ДОЛЮ; ","")&amp;IF(COUNTIFS($A$5:$A$504,A424,$B$5:$B$504,B424,$C$5:$C$504,C424,$E$5:$E$504,E424)&gt;1,"ВОЗМОЖНЫЙ ДУБЛЬ; ","")&amp;IF(AND(A424&lt;&gt;"",A425&lt;&gt;"",A424&lt;A425),"ПОРЯДОК ДАТ; ",""))</f>
        <v/>
      </c>
      <c r="N424" s="30" t="str">
        <f>IF(A424="","",IF(Настройки_2026!$B$6="ДЕМО",1,IF(I424="ДЕМО",0,1)))</f>
        <v/>
      </c>
    </row>
    <row r="425" spans="1:14" x14ac:dyDescent="0.25">
      <c r="A425" s="26"/>
      <c r="B425" s="27"/>
      <c r="C425" s="27"/>
      <c r="D425" s="27"/>
      <c r="E425" s="28"/>
      <c r="F425" s="27"/>
      <c r="G425" s="27"/>
      <c r="H425" s="29"/>
      <c r="I425" s="27"/>
      <c r="J425" s="27"/>
      <c r="K425" s="30" t="str">
        <f t="shared" si="6"/>
        <v/>
      </c>
      <c r="L425" s="31">
        <f>IF(B425&lt;&gt;"Расход",0,IF(H425&lt;&gt;"",E425*H425,IFERROR(IF(VLOOKUP(D425,Категории!$A$3:$F$27,4,FALSE)="",0,E425*VLOOKUP(D425,Категории!$A$3:$F$27,4,FALSE)),0)))</f>
        <v>0</v>
      </c>
      <c r="M425" s="30" t="str">
        <f>IF(A425="","",IF(NOT(ISNUMBER(A425)),"ДАТА; ","")&amp;IF(NOT(ISNUMBER(E425)),"СУММА; ","")&amp;IF(AND(B425&lt;&gt;"",D425&lt;&gt;"",IFERROR(VLOOKUP(D425,Категории!$A$3:$B$27,2,FALSE),"")&lt;&gt;B425),"ТИП/КАТЕГОРИЯ; ","")&amp;IF(AND(B425="Доход",G425=""),"НЕТ № КВИТАНЦИИ; ","")&amp;IF(AND(B425="Расход",H425="",IFERROR(VLOOKUP(D425,Категории!$A$3:$D$27,4,FALSE),"")=""),"УКАЖИТЕ ДОЛЮ; ","")&amp;IF(COUNTIFS($A$5:$A$504,A425,$B$5:$B$504,B425,$C$5:$C$504,C425,$E$5:$E$504,E425)&gt;1,"ВОЗМОЖНЫЙ ДУБЛЬ; ","")&amp;IF(AND(A425&lt;&gt;"",A426&lt;&gt;"",A425&lt;A426),"ПОРЯДОК ДАТ; ",""))</f>
        <v/>
      </c>
      <c r="N425" s="30" t="str">
        <f>IF(A425="","",IF(Настройки_2026!$B$6="ДЕМО",1,IF(I425="ДЕМО",0,1)))</f>
        <v/>
      </c>
    </row>
    <row r="426" spans="1:14" x14ac:dyDescent="0.25">
      <c r="A426" s="26"/>
      <c r="B426" s="27"/>
      <c r="C426" s="27"/>
      <c r="D426" s="27"/>
      <c r="E426" s="28"/>
      <c r="F426" s="27"/>
      <c r="G426" s="27"/>
      <c r="H426" s="29"/>
      <c r="I426" s="27"/>
      <c r="J426" s="27"/>
      <c r="K426" s="30" t="str">
        <f t="shared" si="6"/>
        <v/>
      </c>
      <c r="L426" s="31">
        <f>IF(B426&lt;&gt;"Расход",0,IF(H426&lt;&gt;"",E426*H426,IFERROR(IF(VLOOKUP(D426,Категории!$A$3:$F$27,4,FALSE)="",0,E426*VLOOKUP(D426,Категории!$A$3:$F$27,4,FALSE)),0)))</f>
        <v>0</v>
      </c>
      <c r="M426" s="30" t="str">
        <f>IF(A426="","",IF(NOT(ISNUMBER(A426)),"ДАТА; ","")&amp;IF(NOT(ISNUMBER(E426)),"СУММА; ","")&amp;IF(AND(B426&lt;&gt;"",D426&lt;&gt;"",IFERROR(VLOOKUP(D426,Категории!$A$3:$B$27,2,FALSE),"")&lt;&gt;B426),"ТИП/КАТЕГОРИЯ; ","")&amp;IF(AND(B426="Доход",G426=""),"НЕТ № КВИТАНЦИИ; ","")&amp;IF(AND(B426="Расход",H426="",IFERROR(VLOOKUP(D426,Категории!$A$3:$D$27,4,FALSE),"")=""),"УКАЖИТЕ ДОЛЮ; ","")&amp;IF(COUNTIFS($A$5:$A$504,A426,$B$5:$B$504,B426,$C$5:$C$504,C426,$E$5:$E$504,E426)&gt;1,"ВОЗМОЖНЫЙ ДУБЛЬ; ","")&amp;IF(AND(A426&lt;&gt;"",A427&lt;&gt;"",A426&lt;A427),"ПОРЯДОК ДАТ; ",""))</f>
        <v/>
      </c>
      <c r="N426" s="30" t="str">
        <f>IF(A426="","",IF(Настройки_2026!$B$6="ДЕМО",1,IF(I426="ДЕМО",0,1)))</f>
        <v/>
      </c>
    </row>
    <row r="427" spans="1:14" x14ac:dyDescent="0.25">
      <c r="A427" s="26"/>
      <c r="B427" s="27"/>
      <c r="C427" s="27"/>
      <c r="D427" s="27"/>
      <c r="E427" s="28"/>
      <c r="F427" s="27"/>
      <c r="G427" s="27"/>
      <c r="H427" s="29"/>
      <c r="I427" s="27"/>
      <c r="J427" s="27"/>
      <c r="K427" s="30" t="str">
        <f t="shared" si="6"/>
        <v/>
      </c>
      <c r="L427" s="31">
        <f>IF(B427&lt;&gt;"Расход",0,IF(H427&lt;&gt;"",E427*H427,IFERROR(IF(VLOOKUP(D427,Категории!$A$3:$F$27,4,FALSE)="",0,E427*VLOOKUP(D427,Категории!$A$3:$F$27,4,FALSE)),0)))</f>
        <v>0</v>
      </c>
      <c r="M427" s="30" t="str">
        <f>IF(A427="","",IF(NOT(ISNUMBER(A427)),"ДАТА; ","")&amp;IF(NOT(ISNUMBER(E427)),"СУММА; ","")&amp;IF(AND(B427&lt;&gt;"",D427&lt;&gt;"",IFERROR(VLOOKUP(D427,Категории!$A$3:$B$27,2,FALSE),"")&lt;&gt;B427),"ТИП/КАТЕГОРИЯ; ","")&amp;IF(AND(B427="Доход",G427=""),"НЕТ № КВИТАНЦИИ; ","")&amp;IF(AND(B427="Расход",H427="",IFERROR(VLOOKUP(D427,Категории!$A$3:$D$27,4,FALSE),"")=""),"УКАЖИТЕ ДОЛЮ; ","")&amp;IF(COUNTIFS($A$5:$A$504,A427,$B$5:$B$504,B427,$C$5:$C$504,C427,$E$5:$E$504,E427)&gt;1,"ВОЗМОЖНЫЙ ДУБЛЬ; ","")&amp;IF(AND(A427&lt;&gt;"",A428&lt;&gt;"",A427&lt;A428),"ПОРЯДОК ДАТ; ",""))</f>
        <v/>
      </c>
      <c r="N427" s="30" t="str">
        <f>IF(A427="","",IF(Настройки_2026!$B$6="ДЕМО",1,IF(I427="ДЕМО",0,1)))</f>
        <v/>
      </c>
    </row>
    <row r="428" spans="1:14" x14ac:dyDescent="0.25">
      <c r="A428" s="26"/>
      <c r="B428" s="27"/>
      <c r="C428" s="27"/>
      <c r="D428" s="27"/>
      <c r="E428" s="28"/>
      <c r="F428" s="27"/>
      <c r="G428" s="27"/>
      <c r="H428" s="29"/>
      <c r="I428" s="27"/>
      <c r="J428" s="27"/>
      <c r="K428" s="30" t="str">
        <f t="shared" si="6"/>
        <v/>
      </c>
      <c r="L428" s="31">
        <f>IF(B428&lt;&gt;"Расход",0,IF(H428&lt;&gt;"",E428*H428,IFERROR(IF(VLOOKUP(D428,Категории!$A$3:$F$27,4,FALSE)="",0,E428*VLOOKUP(D428,Категории!$A$3:$F$27,4,FALSE)),0)))</f>
        <v>0</v>
      </c>
      <c r="M428" s="30" t="str">
        <f>IF(A428="","",IF(NOT(ISNUMBER(A428)),"ДАТА; ","")&amp;IF(NOT(ISNUMBER(E428)),"СУММА; ","")&amp;IF(AND(B428&lt;&gt;"",D428&lt;&gt;"",IFERROR(VLOOKUP(D428,Категории!$A$3:$B$27,2,FALSE),"")&lt;&gt;B428),"ТИП/КАТЕГОРИЯ; ","")&amp;IF(AND(B428="Доход",G428=""),"НЕТ № КВИТАНЦИИ; ","")&amp;IF(AND(B428="Расход",H428="",IFERROR(VLOOKUP(D428,Категории!$A$3:$D$27,4,FALSE),"")=""),"УКАЖИТЕ ДОЛЮ; ","")&amp;IF(COUNTIFS($A$5:$A$504,A428,$B$5:$B$504,B428,$C$5:$C$504,C428,$E$5:$E$504,E428)&gt;1,"ВОЗМОЖНЫЙ ДУБЛЬ; ","")&amp;IF(AND(A428&lt;&gt;"",A429&lt;&gt;"",A428&lt;A429),"ПОРЯДОК ДАТ; ",""))</f>
        <v/>
      </c>
      <c r="N428" s="30" t="str">
        <f>IF(A428="","",IF(Настройки_2026!$B$6="ДЕМО",1,IF(I428="ДЕМО",0,1)))</f>
        <v/>
      </c>
    </row>
    <row r="429" spans="1:14" x14ac:dyDescent="0.25">
      <c r="A429" s="26"/>
      <c r="B429" s="27"/>
      <c r="C429" s="27"/>
      <c r="D429" s="27"/>
      <c r="E429" s="28"/>
      <c r="F429" s="27"/>
      <c r="G429" s="27"/>
      <c r="H429" s="29"/>
      <c r="I429" s="27"/>
      <c r="J429" s="27"/>
      <c r="K429" s="30" t="str">
        <f t="shared" si="6"/>
        <v/>
      </c>
      <c r="L429" s="31">
        <f>IF(B429&lt;&gt;"Расход",0,IF(H429&lt;&gt;"",E429*H429,IFERROR(IF(VLOOKUP(D429,Категории!$A$3:$F$27,4,FALSE)="",0,E429*VLOOKUP(D429,Категории!$A$3:$F$27,4,FALSE)),0)))</f>
        <v>0</v>
      </c>
      <c r="M429" s="30" t="str">
        <f>IF(A429="","",IF(NOT(ISNUMBER(A429)),"ДАТА; ","")&amp;IF(NOT(ISNUMBER(E429)),"СУММА; ","")&amp;IF(AND(B429&lt;&gt;"",D429&lt;&gt;"",IFERROR(VLOOKUP(D429,Категории!$A$3:$B$27,2,FALSE),"")&lt;&gt;B429),"ТИП/КАТЕГОРИЯ; ","")&amp;IF(AND(B429="Доход",G429=""),"НЕТ № КВИТАНЦИИ; ","")&amp;IF(AND(B429="Расход",H429="",IFERROR(VLOOKUP(D429,Категории!$A$3:$D$27,4,FALSE),"")=""),"УКАЖИТЕ ДОЛЮ; ","")&amp;IF(COUNTIFS($A$5:$A$504,A429,$B$5:$B$504,B429,$C$5:$C$504,C429,$E$5:$E$504,E429)&gt;1,"ВОЗМОЖНЫЙ ДУБЛЬ; ","")&amp;IF(AND(A429&lt;&gt;"",A430&lt;&gt;"",A429&lt;A430),"ПОРЯДОК ДАТ; ",""))</f>
        <v/>
      </c>
      <c r="N429" s="30" t="str">
        <f>IF(A429="","",IF(Настройки_2026!$B$6="ДЕМО",1,IF(I429="ДЕМО",0,1)))</f>
        <v/>
      </c>
    </row>
    <row r="430" spans="1:14" x14ac:dyDescent="0.25">
      <c r="A430" s="26"/>
      <c r="B430" s="27"/>
      <c r="C430" s="27"/>
      <c r="D430" s="27"/>
      <c r="E430" s="28"/>
      <c r="F430" s="27"/>
      <c r="G430" s="27"/>
      <c r="H430" s="29"/>
      <c r="I430" s="27"/>
      <c r="J430" s="27"/>
      <c r="K430" s="30" t="str">
        <f t="shared" si="6"/>
        <v/>
      </c>
      <c r="L430" s="31">
        <f>IF(B430&lt;&gt;"Расход",0,IF(H430&lt;&gt;"",E430*H430,IFERROR(IF(VLOOKUP(D430,Категории!$A$3:$F$27,4,FALSE)="",0,E430*VLOOKUP(D430,Категории!$A$3:$F$27,4,FALSE)),0)))</f>
        <v>0</v>
      </c>
      <c r="M430" s="30" t="str">
        <f>IF(A430="","",IF(NOT(ISNUMBER(A430)),"ДАТА; ","")&amp;IF(NOT(ISNUMBER(E430)),"СУММА; ","")&amp;IF(AND(B430&lt;&gt;"",D430&lt;&gt;"",IFERROR(VLOOKUP(D430,Категории!$A$3:$B$27,2,FALSE),"")&lt;&gt;B430),"ТИП/КАТЕГОРИЯ; ","")&amp;IF(AND(B430="Доход",G430=""),"НЕТ № КВИТАНЦИИ; ","")&amp;IF(AND(B430="Расход",H430="",IFERROR(VLOOKUP(D430,Категории!$A$3:$D$27,4,FALSE),"")=""),"УКАЖИТЕ ДОЛЮ; ","")&amp;IF(COUNTIFS($A$5:$A$504,A430,$B$5:$B$504,B430,$C$5:$C$504,C430,$E$5:$E$504,E430)&gt;1,"ВОЗМОЖНЫЙ ДУБЛЬ; ","")&amp;IF(AND(A430&lt;&gt;"",A431&lt;&gt;"",A430&lt;A431),"ПОРЯДОК ДАТ; ",""))</f>
        <v/>
      </c>
      <c r="N430" s="30" t="str">
        <f>IF(A430="","",IF(Настройки_2026!$B$6="ДЕМО",1,IF(I430="ДЕМО",0,1)))</f>
        <v/>
      </c>
    </row>
    <row r="431" spans="1:14" x14ac:dyDescent="0.25">
      <c r="A431" s="26"/>
      <c r="B431" s="27"/>
      <c r="C431" s="27"/>
      <c r="D431" s="27"/>
      <c r="E431" s="28"/>
      <c r="F431" s="27"/>
      <c r="G431" s="27"/>
      <c r="H431" s="29"/>
      <c r="I431" s="27"/>
      <c r="J431" s="27"/>
      <c r="K431" s="30" t="str">
        <f t="shared" si="6"/>
        <v/>
      </c>
      <c r="L431" s="31">
        <f>IF(B431&lt;&gt;"Расход",0,IF(H431&lt;&gt;"",E431*H431,IFERROR(IF(VLOOKUP(D431,Категории!$A$3:$F$27,4,FALSE)="",0,E431*VLOOKUP(D431,Категории!$A$3:$F$27,4,FALSE)),0)))</f>
        <v>0</v>
      </c>
      <c r="M431" s="30" t="str">
        <f>IF(A431="","",IF(NOT(ISNUMBER(A431)),"ДАТА; ","")&amp;IF(NOT(ISNUMBER(E431)),"СУММА; ","")&amp;IF(AND(B431&lt;&gt;"",D431&lt;&gt;"",IFERROR(VLOOKUP(D431,Категории!$A$3:$B$27,2,FALSE),"")&lt;&gt;B431),"ТИП/КАТЕГОРИЯ; ","")&amp;IF(AND(B431="Доход",G431=""),"НЕТ № КВИТАНЦИИ; ","")&amp;IF(AND(B431="Расход",H431="",IFERROR(VLOOKUP(D431,Категории!$A$3:$D$27,4,FALSE),"")=""),"УКАЖИТЕ ДОЛЮ; ","")&amp;IF(COUNTIFS($A$5:$A$504,A431,$B$5:$B$504,B431,$C$5:$C$504,C431,$E$5:$E$504,E431)&gt;1,"ВОЗМОЖНЫЙ ДУБЛЬ; ","")&amp;IF(AND(A431&lt;&gt;"",A432&lt;&gt;"",A431&lt;A432),"ПОРЯДОК ДАТ; ",""))</f>
        <v/>
      </c>
      <c r="N431" s="30" t="str">
        <f>IF(A431="","",IF(Настройки_2026!$B$6="ДЕМО",1,IF(I431="ДЕМО",0,1)))</f>
        <v/>
      </c>
    </row>
    <row r="432" spans="1:14" x14ac:dyDescent="0.25">
      <c r="A432" s="26"/>
      <c r="B432" s="27"/>
      <c r="C432" s="27"/>
      <c r="D432" s="27"/>
      <c r="E432" s="28"/>
      <c r="F432" s="27"/>
      <c r="G432" s="27"/>
      <c r="H432" s="29"/>
      <c r="I432" s="27"/>
      <c r="J432" s="27"/>
      <c r="K432" s="30" t="str">
        <f t="shared" si="6"/>
        <v/>
      </c>
      <c r="L432" s="31">
        <f>IF(B432&lt;&gt;"Расход",0,IF(H432&lt;&gt;"",E432*H432,IFERROR(IF(VLOOKUP(D432,Категории!$A$3:$F$27,4,FALSE)="",0,E432*VLOOKUP(D432,Категории!$A$3:$F$27,4,FALSE)),0)))</f>
        <v>0</v>
      </c>
      <c r="M432" s="30" t="str">
        <f>IF(A432="","",IF(NOT(ISNUMBER(A432)),"ДАТА; ","")&amp;IF(NOT(ISNUMBER(E432)),"СУММА; ","")&amp;IF(AND(B432&lt;&gt;"",D432&lt;&gt;"",IFERROR(VLOOKUP(D432,Категории!$A$3:$B$27,2,FALSE),"")&lt;&gt;B432),"ТИП/КАТЕГОРИЯ; ","")&amp;IF(AND(B432="Доход",G432=""),"НЕТ № КВИТАНЦИИ; ","")&amp;IF(AND(B432="Расход",H432="",IFERROR(VLOOKUP(D432,Категории!$A$3:$D$27,4,FALSE),"")=""),"УКАЖИТЕ ДОЛЮ; ","")&amp;IF(COUNTIFS($A$5:$A$504,A432,$B$5:$B$504,B432,$C$5:$C$504,C432,$E$5:$E$504,E432)&gt;1,"ВОЗМОЖНЫЙ ДУБЛЬ; ","")&amp;IF(AND(A432&lt;&gt;"",A433&lt;&gt;"",A432&lt;A433),"ПОРЯДОК ДАТ; ",""))</f>
        <v/>
      </c>
      <c r="N432" s="30" t="str">
        <f>IF(A432="","",IF(Настройки_2026!$B$6="ДЕМО",1,IF(I432="ДЕМО",0,1)))</f>
        <v/>
      </c>
    </row>
    <row r="433" spans="1:14" x14ac:dyDescent="0.25">
      <c r="A433" s="26"/>
      <c r="B433" s="27"/>
      <c r="C433" s="27"/>
      <c r="D433" s="27"/>
      <c r="E433" s="28"/>
      <c r="F433" s="27"/>
      <c r="G433" s="27"/>
      <c r="H433" s="29"/>
      <c r="I433" s="27"/>
      <c r="J433" s="27"/>
      <c r="K433" s="30" t="str">
        <f t="shared" si="6"/>
        <v/>
      </c>
      <c r="L433" s="31">
        <f>IF(B433&lt;&gt;"Расход",0,IF(H433&lt;&gt;"",E433*H433,IFERROR(IF(VLOOKUP(D433,Категории!$A$3:$F$27,4,FALSE)="",0,E433*VLOOKUP(D433,Категории!$A$3:$F$27,4,FALSE)),0)))</f>
        <v>0</v>
      </c>
      <c r="M433" s="30" t="str">
        <f>IF(A433="","",IF(NOT(ISNUMBER(A433)),"ДАТА; ","")&amp;IF(NOT(ISNUMBER(E433)),"СУММА; ","")&amp;IF(AND(B433&lt;&gt;"",D433&lt;&gt;"",IFERROR(VLOOKUP(D433,Категории!$A$3:$B$27,2,FALSE),"")&lt;&gt;B433),"ТИП/КАТЕГОРИЯ; ","")&amp;IF(AND(B433="Доход",G433=""),"НЕТ № КВИТАНЦИИ; ","")&amp;IF(AND(B433="Расход",H433="",IFERROR(VLOOKUP(D433,Категории!$A$3:$D$27,4,FALSE),"")=""),"УКАЖИТЕ ДОЛЮ; ","")&amp;IF(COUNTIFS($A$5:$A$504,A433,$B$5:$B$504,B433,$C$5:$C$504,C433,$E$5:$E$504,E433)&gt;1,"ВОЗМОЖНЫЙ ДУБЛЬ; ","")&amp;IF(AND(A433&lt;&gt;"",A434&lt;&gt;"",A433&lt;A434),"ПОРЯДОК ДАТ; ",""))</f>
        <v/>
      </c>
      <c r="N433" s="30" t="str">
        <f>IF(A433="","",IF(Настройки_2026!$B$6="ДЕМО",1,IF(I433="ДЕМО",0,1)))</f>
        <v/>
      </c>
    </row>
    <row r="434" spans="1:14" x14ac:dyDescent="0.25">
      <c r="A434" s="26"/>
      <c r="B434" s="27"/>
      <c r="C434" s="27"/>
      <c r="D434" s="27"/>
      <c r="E434" s="28"/>
      <c r="F434" s="27"/>
      <c r="G434" s="27"/>
      <c r="H434" s="29"/>
      <c r="I434" s="27"/>
      <c r="J434" s="27"/>
      <c r="K434" s="30" t="str">
        <f t="shared" si="6"/>
        <v/>
      </c>
      <c r="L434" s="31">
        <f>IF(B434&lt;&gt;"Расход",0,IF(H434&lt;&gt;"",E434*H434,IFERROR(IF(VLOOKUP(D434,Категории!$A$3:$F$27,4,FALSE)="",0,E434*VLOOKUP(D434,Категории!$A$3:$F$27,4,FALSE)),0)))</f>
        <v>0</v>
      </c>
      <c r="M434" s="30" t="str">
        <f>IF(A434="","",IF(NOT(ISNUMBER(A434)),"ДАТА; ","")&amp;IF(NOT(ISNUMBER(E434)),"СУММА; ","")&amp;IF(AND(B434&lt;&gt;"",D434&lt;&gt;"",IFERROR(VLOOKUP(D434,Категории!$A$3:$B$27,2,FALSE),"")&lt;&gt;B434),"ТИП/КАТЕГОРИЯ; ","")&amp;IF(AND(B434="Доход",G434=""),"НЕТ № КВИТАНЦИИ; ","")&amp;IF(AND(B434="Расход",H434="",IFERROR(VLOOKUP(D434,Категории!$A$3:$D$27,4,FALSE),"")=""),"УКАЖИТЕ ДОЛЮ; ","")&amp;IF(COUNTIFS($A$5:$A$504,A434,$B$5:$B$504,B434,$C$5:$C$504,C434,$E$5:$E$504,E434)&gt;1,"ВОЗМОЖНЫЙ ДУБЛЬ; ","")&amp;IF(AND(A434&lt;&gt;"",A435&lt;&gt;"",A434&lt;A435),"ПОРЯДОК ДАТ; ",""))</f>
        <v/>
      </c>
      <c r="N434" s="30" t="str">
        <f>IF(A434="","",IF(Настройки_2026!$B$6="ДЕМО",1,IF(I434="ДЕМО",0,1)))</f>
        <v/>
      </c>
    </row>
    <row r="435" spans="1:14" x14ac:dyDescent="0.25">
      <c r="A435" s="26"/>
      <c r="B435" s="27"/>
      <c r="C435" s="27"/>
      <c r="D435" s="27"/>
      <c r="E435" s="28"/>
      <c r="F435" s="27"/>
      <c r="G435" s="27"/>
      <c r="H435" s="29"/>
      <c r="I435" s="27"/>
      <c r="J435" s="27"/>
      <c r="K435" s="30" t="str">
        <f t="shared" si="6"/>
        <v/>
      </c>
      <c r="L435" s="31">
        <f>IF(B435&lt;&gt;"Расход",0,IF(H435&lt;&gt;"",E435*H435,IFERROR(IF(VLOOKUP(D435,Категории!$A$3:$F$27,4,FALSE)="",0,E435*VLOOKUP(D435,Категории!$A$3:$F$27,4,FALSE)),0)))</f>
        <v>0</v>
      </c>
      <c r="M435" s="30" t="str">
        <f>IF(A435="","",IF(NOT(ISNUMBER(A435)),"ДАТА; ","")&amp;IF(NOT(ISNUMBER(E435)),"СУММА; ","")&amp;IF(AND(B435&lt;&gt;"",D435&lt;&gt;"",IFERROR(VLOOKUP(D435,Категории!$A$3:$B$27,2,FALSE),"")&lt;&gt;B435),"ТИП/КАТЕГОРИЯ; ","")&amp;IF(AND(B435="Доход",G435=""),"НЕТ № КВИТАНЦИИ; ","")&amp;IF(AND(B435="Расход",H435="",IFERROR(VLOOKUP(D435,Категории!$A$3:$D$27,4,FALSE),"")=""),"УКАЖИТЕ ДОЛЮ; ","")&amp;IF(COUNTIFS($A$5:$A$504,A435,$B$5:$B$504,B435,$C$5:$C$504,C435,$E$5:$E$504,E435)&gt;1,"ВОЗМОЖНЫЙ ДУБЛЬ; ","")&amp;IF(AND(A435&lt;&gt;"",A436&lt;&gt;"",A435&lt;A436),"ПОРЯДОК ДАТ; ",""))</f>
        <v/>
      </c>
      <c r="N435" s="30" t="str">
        <f>IF(A435="","",IF(Настройки_2026!$B$6="ДЕМО",1,IF(I435="ДЕМО",0,1)))</f>
        <v/>
      </c>
    </row>
    <row r="436" spans="1:14" x14ac:dyDescent="0.25">
      <c r="A436" s="26"/>
      <c r="B436" s="27"/>
      <c r="C436" s="27"/>
      <c r="D436" s="27"/>
      <c r="E436" s="28"/>
      <c r="F436" s="27"/>
      <c r="G436" s="27"/>
      <c r="H436" s="29"/>
      <c r="I436" s="27"/>
      <c r="J436" s="27"/>
      <c r="K436" s="30" t="str">
        <f t="shared" si="6"/>
        <v/>
      </c>
      <c r="L436" s="31">
        <f>IF(B436&lt;&gt;"Расход",0,IF(H436&lt;&gt;"",E436*H436,IFERROR(IF(VLOOKUP(D436,Категории!$A$3:$F$27,4,FALSE)="",0,E436*VLOOKUP(D436,Категории!$A$3:$F$27,4,FALSE)),0)))</f>
        <v>0</v>
      </c>
      <c r="M436" s="30" t="str">
        <f>IF(A436="","",IF(NOT(ISNUMBER(A436)),"ДАТА; ","")&amp;IF(NOT(ISNUMBER(E436)),"СУММА; ","")&amp;IF(AND(B436&lt;&gt;"",D436&lt;&gt;"",IFERROR(VLOOKUP(D436,Категории!$A$3:$B$27,2,FALSE),"")&lt;&gt;B436),"ТИП/КАТЕГОРИЯ; ","")&amp;IF(AND(B436="Доход",G436=""),"НЕТ № КВИТАНЦИИ; ","")&amp;IF(AND(B436="Расход",H436="",IFERROR(VLOOKUP(D436,Категории!$A$3:$D$27,4,FALSE),"")=""),"УКАЖИТЕ ДОЛЮ; ","")&amp;IF(COUNTIFS($A$5:$A$504,A436,$B$5:$B$504,B436,$C$5:$C$504,C436,$E$5:$E$504,E436)&gt;1,"ВОЗМОЖНЫЙ ДУБЛЬ; ","")&amp;IF(AND(A436&lt;&gt;"",A437&lt;&gt;"",A436&lt;A437),"ПОРЯДОК ДАТ; ",""))</f>
        <v/>
      </c>
      <c r="N436" s="30" t="str">
        <f>IF(A436="","",IF(Настройки_2026!$B$6="ДЕМО",1,IF(I436="ДЕМО",0,1)))</f>
        <v/>
      </c>
    </row>
    <row r="437" spans="1:14" x14ac:dyDescent="0.25">
      <c r="A437" s="26"/>
      <c r="B437" s="27"/>
      <c r="C437" s="27"/>
      <c r="D437" s="27"/>
      <c r="E437" s="28"/>
      <c r="F437" s="27"/>
      <c r="G437" s="27"/>
      <c r="H437" s="29"/>
      <c r="I437" s="27"/>
      <c r="J437" s="27"/>
      <c r="K437" s="30" t="str">
        <f t="shared" si="6"/>
        <v/>
      </c>
      <c r="L437" s="31">
        <f>IF(B437&lt;&gt;"Расход",0,IF(H437&lt;&gt;"",E437*H437,IFERROR(IF(VLOOKUP(D437,Категории!$A$3:$F$27,4,FALSE)="",0,E437*VLOOKUP(D437,Категории!$A$3:$F$27,4,FALSE)),0)))</f>
        <v>0</v>
      </c>
      <c r="M437" s="30" t="str">
        <f>IF(A437="","",IF(NOT(ISNUMBER(A437)),"ДАТА; ","")&amp;IF(NOT(ISNUMBER(E437)),"СУММА; ","")&amp;IF(AND(B437&lt;&gt;"",D437&lt;&gt;"",IFERROR(VLOOKUP(D437,Категории!$A$3:$B$27,2,FALSE),"")&lt;&gt;B437),"ТИП/КАТЕГОРИЯ; ","")&amp;IF(AND(B437="Доход",G437=""),"НЕТ № КВИТАНЦИИ; ","")&amp;IF(AND(B437="Расход",H437="",IFERROR(VLOOKUP(D437,Категории!$A$3:$D$27,4,FALSE),"")=""),"УКАЖИТЕ ДОЛЮ; ","")&amp;IF(COUNTIFS($A$5:$A$504,A437,$B$5:$B$504,B437,$C$5:$C$504,C437,$E$5:$E$504,E437)&gt;1,"ВОЗМОЖНЫЙ ДУБЛЬ; ","")&amp;IF(AND(A437&lt;&gt;"",A438&lt;&gt;"",A437&lt;A438),"ПОРЯДОК ДАТ; ",""))</f>
        <v/>
      </c>
      <c r="N437" s="30" t="str">
        <f>IF(A437="","",IF(Настройки_2026!$B$6="ДЕМО",1,IF(I437="ДЕМО",0,1)))</f>
        <v/>
      </c>
    </row>
    <row r="438" spans="1:14" x14ac:dyDescent="0.25">
      <c r="A438" s="26"/>
      <c r="B438" s="27"/>
      <c r="C438" s="27"/>
      <c r="D438" s="27"/>
      <c r="E438" s="28"/>
      <c r="F438" s="27"/>
      <c r="G438" s="27"/>
      <c r="H438" s="29"/>
      <c r="I438" s="27"/>
      <c r="J438" s="27"/>
      <c r="K438" s="30" t="str">
        <f t="shared" si="6"/>
        <v/>
      </c>
      <c r="L438" s="31">
        <f>IF(B438&lt;&gt;"Расход",0,IF(H438&lt;&gt;"",E438*H438,IFERROR(IF(VLOOKUP(D438,Категории!$A$3:$F$27,4,FALSE)="",0,E438*VLOOKUP(D438,Категории!$A$3:$F$27,4,FALSE)),0)))</f>
        <v>0</v>
      </c>
      <c r="M438" s="30" t="str">
        <f>IF(A438="","",IF(NOT(ISNUMBER(A438)),"ДАТА; ","")&amp;IF(NOT(ISNUMBER(E438)),"СУММА; ","")&amp;IF(AND(B438&lt;&gt;"",D438&lt;&gt;"",IFERROR(VLOOKUP(D438,Категории!$A$3:$B$27,2,FALSE),"")&lt;&gt;B438),"ТИП/КАТЕГОРИЯ; ","")&amp;IF(AND(B438="Доход",G438=""),"НЕТ № КВИТАНЦИИ; ","")&amp;IF(AND(B438="Расход",H438="",IFERROR(VLOOKUP(D438,Категории!$A$3:$D$27,4,FALSE),"")=""),"УКАЖИТЕ ДОЛЮ; ","")&amp;IF(COUNTIFS($A$5:$A$504,A438,$B$5:$B$504,B438,$C$5:$C$504,C438,$E$5:$E$504,E438)&gt;1,"ВОЗМОЖНЫЙ ДУБЛЬ; ","")&amp;IF(AND(A438&lt;&gt;"",A439&lt;&gt;"",A438&lt;A439),"ПОРЯДОК ДАТ; ",""))</f>
        <v/>
      </c>
      <c r="N438" s="30" t="str">
        <f>IF(A438="","",IF(Настройки_2026!$B$6="ДЕМО",1,IF(I438="ДЕМО",0,1)))</f>
        <v/>
      </c>
    </row>
    <row r="439" spans="1:14" x14ac:dyDescent="0.25">
      <c r="A439" s="26"/>
      <c r="B439" s="27"/>
      <c r="C439" s="27"/>
      <c r="D439" s="27"/>
      <c r="E439" s="28"/>
      <c r="F439" s="27"/>
      <c r="G439" s="27"/>
      <c r="H439" s="29"/>
      <c r="I439" s="27"/>
      <c r="J439" s="27"/>
      <c r="K439" s="30" t="str">
        <f t="shared" si="6"/>
        <v/>
      </c>
      <c r="L439" s="31">
        <f>IF(B439&lt;&gt;"Расход",0,IF(H439&lt;&gt;"",E439*H439,IFERROR(IF(VLOOKUP(D439,Категории!$A$3:$F$27,4,FALSE)="",0,E439*VLOOKUP(D439,Категории!$A$3:$F$27,4,FALSE)),0)))</f>
        <v>0</v>
      </c>
      <c r="M439" s="30" t="str">
        <f>IF(A439="","",IF(NOT(ISNUMBER(A439)),"ДАТА; ","")&amp;IF(NOT(ISNUMBER(E439)),"СУММА; ","")&amp;IF(AND(B439&lt;&gt;"",D439&lt;&gt;"",IFERROR(VLOOKUP(D439,Категории!$A$3:$B$27,2,FALSE),"")&lt;&gt;B439),"ТИП/КАТЕГОРИЯ; ","")&amp;IF(AND(B439="Доход",G439=""),"НЕТ № КВИТАНЦИИ; ","")&amp;IF(AND(B439="Расход",H439="",IFERROR(VLOOKUP(D439,Категории!$A$3:$D$27,4,FALSE),"")=""),"УКАЖИТЕ ДОЛЮ; ","")&amp;IF(COUNTIFS($A$5:$A$504,A439,$B$5:$B$504,B439,$C$5:$C$504,C439,$E$5:$E$504,E439)&gt;1,"ВОЗМОЖНЫЙ ДУБЛЬ; ","")&amp;IF(AND(A439&lt;&gt;"",A440&lt;&gt;"",A439&lt;A440),"ПОРЯДОК ДАТ; ",""))</f>
        <v/>
      </c>
      <c r="N439" s="30" t="str">
        <f>IF(A439="","",IF(Настройки_2026!$B$6="ДЕМО",1,IF(I439="ДЕМО",0,1)))</f>
        <v/>
      </c>
    </row>
    <row r="440" spans="1:14" x14ac:dyDescent="0.25">
      <c r="A440" s="26"/>
      <c r="B440" s="27"/>
      <c r="C440" s="27"/>
      <c r="D440" s="27"/>
      <c r="E440" s="28"/>
      <c r="F440" s="27"/>
      <c r="G440" s="27"/>
      <c r="H440" s="29"/>
      <c r="I440" s="27"/>
      <c r="J440" s="27"/>
      <c r="K440" s="30" t="str">
        <f t="shared" si="6"/>
        <v/>
      </c>
      <c r="L440" s="31">
        <f>IF(B440&lt;&gt;"Расход",0,IF(H440&lt;&gt;"",E440*H440,IFERROR(IF(VLOOKUP(D440,Категории!$A$3:$F$27,4,FALSE)="",0,E440*VLOOKUP(D440,Категории!$A$3:$F$27,4,FALSE)),0)))</f>
        <v>0</v>
      </c>
      <c r="M440" s="30" t="str">
        <f>IF(A440="","",IF(NOT(ISNUMBER(A440)),"ДАТА; ","")&amp;IF(NOT(ISNUMBER(E440)),"СУММА; ","")&amp;IF(AND(B440&lt;&gt;"",D440&lt;&gt;"",IFERROR(VLOOKUP(D440,Категории!$A$3:$B$27,2,FALSE),"")&lt;&gt;B440),"ТИП/КАТЕГОРИЯ; ","")&amp;IF(AND(B440="Доход",G440=""),"НЕТ № КВИТАНЦИИ; ","")&amp;IF(AND(B440="Расход",H440="",IFERROR(VLOOKUP(D440,Категории!$A$3:$D$27,4,FALSE),"")=""),"УКАЖИТЕ ДОЛЮ; ","")&amp;IF(COUNTIFS($A$5:$A$504,A440,$B$5:$B$504,B440,$C$5:$C$504,C440,$E$5:$E$504,E440)&gt;1,"ВОЗМОЖНЫЙ ДУБЛЬ; ","")&amp;IF(AND(A440&lt;&gt;"",A441&lt;&gt;"",A440&lt;A441),"ПОРЯДОК ДАТ; ",""))</f>
        <v/>
      </c>
      <c r="N440" s="30" t="str">
        <f>IF(A440="","",IF(Настройки_2026!$B$6="ДЕМО",1,IF(I440="ДЕМО",0,1)))</f>
        <v/>
      </c>
    </row>
    <row r="441" spans="1:14" x14ac:dyDescent="0.25">
      <c r="A441" s="26"/>
      <c r="B441" s="27"/>
      <c r="C441" s="27"/>
      <c r="D441" s="27"/>
      <c r="E441" s="28"/>
      <c r="F441" s="27"/>
      <c r="G441" s="27"/>
      <c r="H441" s="29"/>
      <c r="I441" s="27"/>
      <c r="J441" s="27"/>
      <c r="K441" s="30" t="str">
        <f t="shared" si="6"/>
        <v/>
      </c>
      <c r="L441" s="31">
        <f>IF(B441&lt;&gt;"Расход",0,IF(H441&lt;&gt;"",E441*H441,IFERROR(IF(VLOOKUP(D441,Категории!$A$3:$F$27,4,FALSE)="",0,E441*VLOOKUP(D441,Категории!$A$3:$F$27,4,FALSE)),0)))</f>
        <v>0</v>
      </c>
      <c r="M441" s="30" t="str">
        <f>IF(A441="","",IF(NOT(ISNUMBER(A441)),"ДАТА; ","")&amp;IF(NOT(ISNUMBER(E441)),"СУММА; ","")&amp;IF(AND(B441&lt;&gt;"",D441&lt;&gt;"",IFERROR(VLOOKUP(D441,Категории!$A$3:$B$27,2,FALSE),"")&lt;&gt;B441),"ТИП/КАТЕГОРИЯ; ","")&amp;IF(AND(B441="Доход",G441=""),"НЕТ № КВИТАНЦИИ; ","")&amp;IF(AND(B441="Расход",H441="",IFERROR(VLOOKUP(D441,Категории!$A$3:$D$27,4,FALSE),"")=""),"УКАЖИТЕ ДОЛЮ; ","")&amp;IF(COUNTIFS($A$5:$A$504,A441,$B$5:$B$504,B441,$C$5:$C$504,C441,$E$5:$E$504,E441)&gt;1,"ВОЗМОЖНЫЙ ДУБЛЬ; ","")&amp;IF(AND(A441&lt;&gt;"",A442&lt;&gt;"",A441&lt;A442),"ПОРЯДОК ДАТ; ",""))</f>
        <v/>
      </c>
      <c r="N441" s="30" t="str">
        <f>IF(A441="","",IF(Настройки_2026!$B$6="ДЕМО",1,IF(I441="ДЕМО",0,1)))</f>
        <v/>
      </c>
    </row>
    <row r="442" spans="1:14" x14ac:dyDescent="0.25">
      <c r="A442" s="26"/>
      <c r="B442" s="27"/>
      <c r="C442" s="27"/>
      <c r="D442" s="27"/>
      <c r="E442" s="28"/>
      <c r="F442" s="27"/>
      <c r="G442" s="27"/>
      <c r="H442" s="29"/>
      <c r="I442" s="27"/>
      <c r="J442" s="27"/>
      <c r="K442" s="30" t="str">
        <f t="shared" si="6"/>
        <v/>
      </c>
      <c r="L442" s="31">
        <f>IF(B442&lt;&gt;"Расход",0,IF(H442&lt;&gt;"",E442*H442,IFERROR(IF(VLOOKUP(D442,Категории!$A$3:$F$27,4,FALSE)="",0,E442*VLOOKUP(D442,Категории!$A$3:$F$27,4,FALSE)),0)))</f>
        <v>0</v>
      </c>
      <c r="M442" s="30" t="str">
        <f>IF(A442="","",IF(NOT(ISNUMBER(A442)),"ДАТА; ","")&amp;IF(NOT(ISNUMBER(E442)),"СУММА; ","")&amp;IF(AND(B442&lt;&gt;"",D442&lt;&gt;"",IFERROR(VLOOKUP(D442,Категории!$A$3:$B$27,2,FALSE),"")&lt;&gt;B442),"ТИП/КАТЕГОРИЯ; ","")&amp;IF(AND(B442="Доход",G442=""),"НЕТ № КВИТАНЦИИ; ","")&amp;IF(AND(B442="Расход",H442="",IFERROR(VLOOKUP(D442,Категории!$A$3:$D$27,4,FALSE),"")=""),"УКАЖИТЕ ДОЛЮ; ","")&amp;IF(COUNTIFS($A$5:$A$504,A442,$B$5:$B$504,B442,$C$5:$C$504,C442,$E$5:$E$504,E442)&gt;1,"ВОЗМОЖНЫЙ ДУБЛЬ; ","")&amp;IF(AND(A442&lt;&gt;"",A443&lt;&gt;"",A442&lt;A443),"ПОРЯДОК ДАТ; ",""))</f>
        <v/>
      </c>
      <c r="N442" s="30" t="str">
        <f>IF(A442="","",IF(Настройки_2026!$B$6="ДЕМО",1,IF(I442="ДЕМО",0,1)))</f>
        <v/>
      </c>
    </row>
    <row r="443" spans="1:14" x14ac:dyDescent="0.25">
      <c r="A443" s="26"/>
      <c r="B443" s="27"/>
      <c r="C443" s="27"/>
      <c r="D443" s="27"/>
      <c r="E443" s="28"/>
      <c r="F443" s="27"/>
      <c r="G443" s="27"/>
      <c r="H443" s="29"/>
      <c r="I443" s="27"/>
      <c r="J443" s="27"/>
      <c r="K443" s="30" t="str">
        <f t="shared" si="6"/>
        <v/>
      </c>
      <c r="L443" s="31">
        <f>IF(B443&lt;&gt;"Расход",0,IF(H443&lt;&gt;"",E443*H443,IFERROR(IF(VLOOKUP(D443,Категории!$A$3:$F$27,4,FALSE)="",0,E443*VLOOKUP(D443,Категории!$A$3:$F$27,4,FALSE)),0)))</f>
        <v>0</v>
      </c>
      <c r="M443" s="30" t="str">
        <f>IF(A443="","",IF(NOT(ISNUMBER(A443)),"ДАТА; ","")&amp;IF(NOT(ISNUMBER(E443)),"СУММА; ","")&amp;IF(AND(B443&lt;&gt;"",D443&lt;&gt;"",IFERROR(VLOOKUP(D443,Категории!$A$3:$B$27,2,FALSE),"")&lt;&gt;B443),"ТИП/КАТЕГОРИЯ; ","")&amp;IF(AND(B443="Доход",G443=""),"НЕТ № КВИТАНЦИИ; ","")&amp;IF(AND(B443="Расход",H443="",IFERROR(VLOOKUP(D443,Категории!$A$3:$D$27,4,FALSE),"")=""),"УКАЖИТЕ ДОЛЮ; ","")&amp;IF(COUNTIFS($A$5:$A$504,A443,$B$5:$B$504,B443,$C$5:$C$504,C443,$E$5:$E$504,E443)&gt;1,"ВОЗМОЖНЫЙ ДУБЛЬ; ","")&amp;IF(AND(A443&lt;&gt;"",A444&lt;&gt;"",A443&lt;A444),"ПОРЯДОК ДАТ; ",""))</f>
        <v/>
      </c>
      <c r="N443" s="30" t="str">
        <f>IF(A443="","",IF(Настройки_2026!$B$6="ДЕМО",1,IF(I443="ДЕМО",0,1)))</f>
        <v/>
      </c>
    </row>
    <row r="444" spans="1:14" x14ac:dyDescent="0.25">
      <c r="A444" s="26"/>
      <c r="B444" s="27"/>
      <c r="C444" s="27"/>
      <c r="D444" s="27"/>
      <c r="E444" s="28"/>
      <c r="F444" s="27"/>
      <c r="G444" s="27"/>
      <c r="H444" s="29"/>
      <c r="I444" s="27"/>
      <c r="J444" s="27"/>
      <c r="K444" s="30" t="str">
        <f t="shared" si="6"/>
        <v/>
      </c>
      <c r="L444" s="31">
        <f>IF(B444&lt;&gt;"Расход",0,IF(H444&lt;&gt;"",E444*H444,IFERROR(IF(VLOOKUP(D444,Категории!$A$3:$F$27,4,FALSE)="",0,E444*VLOOKUP(D444,Категории!$A$3:$F$27,4,FALSE)),0)))</f>
        <v>0</v>
      </c>
      <c r="M444" s="30" t="str">
        <f>IF(A444="","",IF(NOT(ISNUMBER(A444)),"ДАТА; ","")&amp;IF(NOT(ISNUMBER(E444)),"СУММА; ","")&amp;IF(AND(B444&lt;&gt;"",D444&lt;&gt;"",IFERROR(VLOOKUP(D444,Категории!$A$3:$B$27,2,FALSE),"")&lt;&gt;B444),"ТИП/КАТЕГОРИЯ; ","")&amp;IF(AND(B444="Доход",G444=""),"НЕТ № КВИТАНЦИИ; ","")&amp;IF(AND(B444="Расход",H444="",IFERROR(VLOOKUP(D444,Категории!$A$3:$D$27,4,FALSE),"")=""),"УКАЖИТЕ ДОЛЮ; ","")&amp;IF(COUNTIFS($A$5:$A$504,A444,$B$5:$B$504,B444,$C$5:$C$504,C444,$E$5:$E$504,E444)&gt;1,"ВОЗМОЖНЫЙ ДУБЛЬ; ","")&amp;IF(AND(A444&lt;&gt;"",A445&lt;&gt;"",A444&lt;A445),"ПОРЯДОК ДАТ; ",""))</f>
        <v/>
      </c>
      <c r="N444" s="30" t="str">
        <f>IF(A444="","",IF(Настройки_2026!$B$6="ДЕМО",1,IF(I444="ДЕМО",0,1)))</f>
        <v/>
      </c>
    </row>
    <row r="445" spans="1:14" x14ac:dyDescent="0.25">
      <c r="A445" s="26"/>
      <c r="B445" s="27"/>
      <c r="C445" s="27"/>
      <c r="D445" s="27"/>
      <c r="E445" s="28"/>
      <c r="F445" s="27"/>
      <c r="G445" s="27"/>
      <c r="H445" s="29"/>
      <c r="I445" s="27"/>
      <c r="J445" s="27"/>
      <c r="K445" s="30" t="str">
        <f t="shared" si="6"/>
        <v/>
      </c>
      <c r="L445" s="31">
        <f>IF(B445&lt;&gt;"Расход",0,IF(H445&lt;&gt;"",E445*H445,IFERROR(IF(VLOOKUP(D445,Категории!$A$3:$F$27,4,FALSE)="",0,E445*VLOOKUP(D445,Категории!$A$3:$F$27,4,FALSE)),0)))</f>
        <v>0</v>
      </c>
      <c r="M445" s="30" t="str">
        <f>IF(A445="","",IF(NOT(ISNUMBER(A445)),"ДАТА; ","")&amp;IF(NOT(ISNUMBER(E445)),"СУММА; ","")&amp;IF(AND(B445&lt;&gt;"",D445&lt;&gt;"",IFERROR(VLOOKUP(D445,Категории!$A$3:$B$27,2,FALSE),"")&lt;&gt;B445),"ТИП/КАТЕГОРИЯ; ","")&amp;IF(AND(B445="Доход",G445=""),"НЕТ № КВИТАНЦИИ; ","")&amp;IF(AND(B445="Расход",H445="",IFERROR(VLOOKUP(D445,Категории!$A$3:$D$27,4,FALSE),"")=""),"УКАЖИТЕ ДОЛЮ; ","")&amp;IF(COUNTIFS($A$5:$A$504,A445,$B$5:$B$504,B445,$C$5:$C$504,C445,$E$5:$E$504,E445)&gt;1,"ВОЗМОЖНЫЙ ДУБЛЬ; ","")&amp;IF(AND(A445&lt;&gt;"",A446&lt;&gt;"",A445&lt;A446),"ПОРЯДОК ДАТ; ",""))</f>
        <v/>
      </c>
      <c r="N445" s="30" t="str">
        <f>IF(A445="","",IF(Настройки_2026!$B$6="ДЕМО",1,IF(I445="ДЕМО",0,1)))</f>
        <v/>
      </c>
    </row>
    <row r="446" spans="1:14" x14ac:dyDescent="0.25">
      <c r="A446" s="26"/>
      <c r="B446" s="27"/>
      <c r="C446" s="27"/>
      <c r="D446" s="27"/>
      <c r="E446" s="28"/>
      <c r="F446" s="27"/>
      <c r="G446" s="27"/>
      <c r="H446" s="29"/>
      <c r="I446" s="27"/>
      <c r="J446" s="27"/>
      <c r="K446" s="30" t="str">
        <f t="shared" si="6"/>
        <v/>
      </c>
      <c r="L446" s="31">
        <f>IF(B446&lt;&gt;"Расход",0,IF(H446&lt;&gt;"",E446*H446,IFERROR(IF(VLOOKUP(D446,Категории!$A$3:$F$27,4,FALSE)="",0,E446*VLOOKUP(D446,Категории!$A$3:$F$27,4,FALSE)),0)))</f>
        <v>0</v>
      </c>
      <c r="M446" s="30" t="str">
        <f>IF(A446="","",IF(NOT(ISNUMBER(A446)),"ДАТА; ","")&amp;IF(NOT(ISNUMBER(E446)),"СУММА; ","")&amp;IF(AND(B446&lt;&gt;"",D446&lt;&gt;"",IFERROR(VLOOKUP(D446,Категории!$A$3:$B$27,2,FALSE),"")&lt;&gt;B446),"ТИП/КАТЕГОРИЯ; ","")&amp;IF(AND(B446="Доход",G446=""),"НЕТ № КВИТАНЦИИ; ","")&amp;IF(AND(B446="Расход",H446="",IFERROR(VLOOKUP(D446,Категории!$A$3:$D$27,4,FALSE),"")=""),"УКАЖИТЕ ДОЛЮ; ","")&amp;IF(COUNTIFS($A$5:$A$504,A446,$B$5:$B$504,B446,$C$5:$C$504,C446,$E$5:$E$504,E446)&gt;1,"ВОЗМОЖНЫЙ ДУБЛЬ; ","")&amp;IF(AND(A446&lt;&gt;"",A447&lt;&gt;"",A446&lt;A447),"ПОРЯДОК ДАТ; ",""))</f>
        <v/>
      </c>
      <c r="N446" s="30" t="str">
        <f>IF(A446="","",IF(Настройки_2026!$B$6="ДЕМО",1,IF(I446="ДЕМО",0,1)))</f>
        <v/>
      </c>
    </row>
    <row r="447" spans="1:14" x14ac:dyDescent="0.25">
      <c r="A447" s="26"/>
      <c r="B447" s="27"/>
      <c r="C447" s="27"/>
      <c r="D447" s="27"/>
      <c r="E447" s="28"/>
      <c r="F447" s="27"/>
      <c r="G447" s="27"/>
      <c r="H447" s="29"/>
      <c r="I447" s="27"/>
      <c r="J447" s="27"/>
      <c r="K447" s="30" t="str">
        <f t="shared" si="6"/>
        <v/>
      </c>
      <c r="L447" s="31">
        <f>IF(B447&lt;&gt;"Расход",0,IF(H447&lt;&gt;"",E447*H447,IFERROR(IF(VLOOKUP(D447,Категории!$A$3:$F$27,4,FALSE)="",0,E447*VLOOKUP(D447,Категории!$A$3:$F$27,4,FALSE)),0)))</f>
        <v>0</v>
      </c>
      <c r="M447" s="30" t="str">
        <f>IF(A447="","",IF(NOT(ISNUMBER(A447)),"ДАТА; ","")&amp;IF(NOT(ISNUMBER(E447)),"СУММА; ","")&amp;IF(AND(B447&lt;&gt;"",D447&lt;&gt;"",IFERROR(VLOOKUP(D447,Категории!$A$3:$B$27,2,FALSE),"")&lt;&gt;B447),"ТИП/КАТЕГОРИЯ; ","")&amp;IF(AND(B447="Доход",G447=""),"НЕТ № КВИТАНЦИИ; ","")&amp;IF(AND(B447="Расход",H447="",IFERROR(VLOOKUP(D447,Категории!$A$3:$D$27,4,FALSE),"")=""),"УКАЖИТЕ ДОЛЮ; ","")&amp;IF(COUNTIFS($A$5:$A$504,A447,$B$5:$B$504,B447,$C$5:$C$504,C447,$E$5:$E$504,E447)&gt;1,"ВОЗМОЖНЫЙ ДУБЛЬ; ","")&amp;IF(AND(A447&lt;&gt;"",A448&lt;&gt;"",A447&lt;A448),"ПОРЯДОК ДАТ; ",""))</f>
        <v/>
      </c>
      <c r="N447" s="30" t="str">
        <f>IF(A447="","",IF(Настройки_2026!$B$6="ДЕМО",1,IF(I447="ДЕМО",0,1)))</f>
        <v/>
      </c>
    </row>
    <row r="448" spans="1:14" x14ac:dyDescent="0.25">
      <c r="A448" s="26"/>
      <c r="B448" s="27"/>
      <c r="C448" s="27"/>
      <c r="D448" s="27"/>
      <c r="E448" s="28"/>
      <c r="F448" s="27"/>
      <c r="G448" s="27"/>
      <c r="H448" s="29"/>
      <c r="I448" s="27"/>
      <c r="J448" s="27"/>
      <c r="K448" s="30" t="str">
        <f t="shared" si="6"/>
        <v/>
      </c>
      <c r="L448" s="31">
        <f>IF(B448&lt;&gt;"Расход",0,IF(H448&lt;&gt;"",E448*H448,IFERROR(IF(VLOOKUP(D448,Категории!$A$3:$F$27,4,FALSE)="",0,E448*VLOOKUP(D448,Категории!$A$3:$F$27,4,FALSE)),0)))</f>
        <v>0</v>
      </c>
      <c r="M448" s="30" t="str">
        <f>IF(A448="","",IF(NOT(ISNUMBER(A448)),"ДАТА; ","")&amp;IF(NOT(ISNUMBER(E448)),"СУММА; ","")&amp;IF(AND(B448&lt;&gt;"",D448&lt;&gt;"",IFERROR(VLOOKUP(D448,Категории!$A$3:$B$27,2,FALSE),"")&lt;&gt;B448),"ТИП/КАТЕГОРИЯ; ","")&amp;IF(AND(B448="Доход",G448=""),"НЕТ № КВИТАНЦИИ; ","")&amp;IF(AND(B448="Расход",H448="",IFERROR(VLOOKUP(D448,Категории!$A$3:$D$27,4,FALSE),"")=""),"УКАЖИТЕ ДОЛЮ; ","")&amp;IF(COUNTIFS($A$5:$A$504,A448,$B$5:$B$504,B448,$C$5:$C$504,C448,$E$5:$E$504,E448)&gt;1,"ВОЗМОЖНЫЙ ДУБЛЬ; ","")&amp;IF(AND(A448&lt;&gt;"",A449&lt;&gt;"",A448&lt;A449),"ПОРЯДОК ДАТ; ",""))</f>
        <v/>
      </c>
      <c r="N448" s="30" t="str">
        <f>IF(A448="","",IF(Настройки_2026!$B$6="ДЕМО",1,IF(I448="ДЕМО",0,1)))</f>
        <v/>
      </c>
    </row>
    <row r="449" spans="1:14" x14ac:dyDescent="0.25">
      <c r="A449" s="26"/>
      <c r="B449" s="27"/>
      <c r="C449" s="27"/>
      <c r="D449" s="27"/>
      <c r="E449" s="28"/>
      <c r="F449" s="27"/>
      <c r="G449" s="27"/>
      <c r="H449" s="29"/>
      <c r="I449" s="27"/>
      <c r="J449" s="27"/>
      <c r="K449" s="30" t="str">
        <f t="shared" si="6"/>
        <v/>
      </c>
      <c r="L449" s="31">
        <f>IF(B449&lt;&gt;"Расход",0,IF(H449&lt;&gt;"",E449*H449,IFERROR(IF(VLOOKUP(D449,Категории!$A$3:$F$27,4,FALSE)="",0,E449*VLOOKUP(D449,Категории!$A$3:$F$27,4,FALSE)),0)))</f>
        <v>0</v>
      </c>
      <c r="M449" s="30" t="str">
        <f>IF(A449="","",IF(NOT(ISNUMBER(A449)),"ДАТА; ","")&amp;IF(NOT(ISNUMBER(E449)),"СУММА; ","")&amp;IF(AND(B449&lt;&gt;"",D449&lt;&gt;"",IFERROR(VLOOKUP(D449,Категории!$A$3:$B$27,2,FALSE),"")&lt;&gt;B449),"ТИП/КАТЕГОРИЯ; ","")&amp;IF(AND(B449="Доход",G449=""),"НЕТ № КВИТАНЦИИ; ","")&amp;IF(AND(B449="Расход",H449="",IFERROR(VLOOKUP(D449,Категории!$A$3:$D$27,4,FALSE),"")=""),"УКАЖИТЕ ДОЛЮ; ","")&amp;IF(COUNTIFS($A$5:$A$504,A449,$B$5:$B$504,B449,$C$5:$C$504,C449,$E$5:$E$504,E449)&gt;1,"ВОЗМОЖНЫЙ ДУБЛЬ; ","")&amp;IF(AND(A449&lt;&gt;"",A450&lt;&gt;"",A449&lt;A450),"ПОРЯДОК ДАТ; ",""))</f>
        <v/>
      </c>
      <c r="N449" s="30" t="str">
        <f>IF(A449="","",IF(Настройки_2026!$B$6="ДЕМО",1,IF(I449="ДЕМО",0,1)))</f>
        <v/>
      </c>
    </row>
    <row r="450" spans="1:14" x14ac:dyDescent="0.25">
      <c r="A450" s="26"/>
      <c r="B450" s="27"/>
      <c r="C450" s="27"/>
      <c r="D450" s="27"/>
      <c r="E450" s="28"/>
      <c r="F450" s="27"/>
      <c r="G450" s="27"/>
      <c r="H450" s="29"/>
      <c r="I450" s="27"/>
      <c r="J450" s="27"/>
      <c r="K450" s="30" t="str">
        <f t="shared" si="6"/>
        <v/>
      </c>
      <c r="L450" s="31">
        <f>IF(B450&lt;&gt;"Расход",0,IF(H450&lt;&gt;"",E450*H450,IFERROR(IF(VLOOKUP(D450,Категории!$A$3:$F$27,4,FALSE)="",0,E450*VLOOKUP(D450,Категории!$A$3:$F$27,4,FALSE)),0)))</f>
        <v>0</v>
      </c>
      <c r="M450" s="30" t="str">
        <f>IF(A450="","",IF(NOT(ISNUMBER(A450)),"ДАТА; ","")&amp;IF(NOT(ISNUMBER(E450)),"СУММА; ","")&amp;IF(AND(B450&lt;&gt;"",D450&lt;&gt;"",IFERROR(VLOOKUP(D450,Категории!$A$3:$B$27,2,FALSE),"")&lt;&gt;B450),"ТИП/КАТЕГОРИЯ; ","")&amp;IF(AND(B450="Доход",G450=""),"НЕТ № КВИТАНЦИИ; ","")&amp;IF(AND(B450="Расход",H450="",IFERROR(VLOOKUP(D450,Категории!$A$3:$D$27,4,FALSE),"")=""),"УКАЖИТЕ ДОЛЮ; ","")&amp;IF(COUNTIFS($A$5:$A$504,A450,$B$5:$B$504,B450,$C$5:$C$504,C450,$E$5:$E$504,E450)&gt;1,"ВОЗМОЖНЫЙ ДУБЛЬ; ","")&amp;IF(AND(A450&lt;&gt;"",A451&lt;&gt;"",A450&lt;A451),"ПОРЯДОК ДАТ; ",""))</f>
        <v/>
      </c>
      <c r="N450" s="30" t="str">
        <f>IF(A450="","",IF(Настройки_2026!$B$6="ДЕМО",1,IF(I450="ДЕМО",0,1)))</f>
        <v/>
      </c>
    </row>
    <row r="451" spans="1:14" x14ac:dyDescent="0.25">
      <c r="A451" s="26"/>
      <c r="B451" s="27"/>
      <c r="C451" s="27"/>
      <c r="D451" s="27"/>
      <c r="E451" s="28"/>
      <c r="F451" s="27"/>
      <c r="G451" s="27"/>
      <c r="H451" s="29"/>
      <c r="I451" s="27"/>
      <c r="J451" s="27"/>
      <c r="K451" s="30" t="str">
        <f t="shared" si="6"/>
        <v/>
      </c>
      <c r="L451" s="31">
        <f>IF(B451&lt;&gt;"Расход",0,IF(H451&lt;&gt;"",E451*H451,IFERROR(IF(VLOOKUP(D451,Категории!$A$3:$F$27,4,FALSE)="",0,E451*VLOOKUP(D451,Категории!$A$3:$F$27,4,FALSE)),0)))</f>
        <v>0</v>
      </c>
      <c r="M451" s="30" t="str">
        <f>IF(A451="","",IF(NOT(ISNUMBER(A451)),"ДАТА; ","")&amp;IF(NOT(ISNUMBER(E451)),"СУММА; ","")&amp;IF(AND(B451&lt;&gt;"",D451&lt;&gt;"",IFERROR(VLOOKUP(D451,Категории!$A$3:$B$27,2,FALSE),"")&lt;&gt;B451),"ТИП/КАТЕГОРИЯ; ","")&amp;IF(AND(B451="Доход",G451=""),"НЕТ № КВИТАНЦИИ; ","")&amp;IF(AND(B451="Расход",H451="",IFERROR(VLOOKUP(D451,Категории!$A$3:$D$27,4,FALSE),"")=""),"УКАЖИТЕ ДОЛЮ; ","")&amp;IF(COUNTIFS($A$5:$A$504,A451,$B$5:$B$504,B451,$C$5:$C$504,C451,$E$5:$E$504,E451)&gt;1,"ВОЗМОЖНЫЙ ДУБЛЬ; ","")&amp;IF(AND(A451&lt;&gt;"",A452&lt;&gt;"",A451&lt;A452),"ПОРЯДОК ДАТ; ",""))</f>
        <v/>
      </c>
      <c r="N451" s="30" t="str">
        <f>IF(A451="","",IF(Настройки_2026!$B$6="ДЕМО",1,IF(I451="ДЕМО",0,1)))</f>
        <v/>
      </c>
    </row>
    <row r="452" spans="1:14" x14ac:dyDescent="0.25">
      <c r="A452" s="26"/>
      <c r="B452" s="27"/>
      <c r="C452" s="27"/>
      <c r="D452" s="27"/>
      <c r="E452" s="28"/>
      <c r="F452" s="27"/>
      <c r="G452" s="27"/>
      <c r="H452" s="29"/>
      <c r="I452" s="27"/>
      <c r="J452" s="27"/>
      <c r="K452" s="30" t="str">
        <f t="shared" si="6"/>
        <v/>
      </c>
      <c r="L452" s="31">
        <f>IF(B452&lt;&gt;"Расход",0,IF(H452&lt;&gt;"",E452*H452,IFERROR(IF(VLOOKUP(D452,Категории!$A$3:$F$27,4,FALSE)="",0,E452*VLOOKUP(D452,Категории!$A$3:$F$27,4,FALSE)),0)))</f>
        <v>0</v>
      </c>
      <c r="M452" s="30" t="str">
        <f>IF(A452="","",IF(NOT(ISNUMBER(A452)),"ДАТА; ","")&amp;IF(NOT(ISNUMBER(E452)),"СУММА; ","")&amp;IF(AND(B452&lt;&gt;"",D452&lt;&gt;"",IFERROR(VLOOKUP(D452,Категории!$A$3:$B$27,2,FALSE),"")&lt;&gt;B452),"ТИП/КАТЕГОРИЯ; ","")&amp;IF(AND(B452="Доход",G452=""),"НЕТ № КВИТАНЦИИ; ","")&amp;IF(AND(B452="Расход",H452="",IFERROR(VLOOKUP(D452,Категории!$A$3:$D$27,4,FALSE),"")=""),"УКАЖИТЕ ДОЛЮ; ","")&amp;IF(COUNTIFS($A$5:$A$504,A452,$B$5:$B$504,B452,$C$5:$C$504,C452,$E$5:$E$504,E452)&gt;1,"ВОЗМОЖНЫЙ ДУБЛЬ; ","")&amp;IF(AND(A452&lt;&gt;"",A453&lt;&gt;"",A452&lt;A453),"ПОРЯДОК ДАТ; ",""))</f>
        <v/>
      </c>
      <c r="N452" s="30" t="str">
        <f>IF(A452="","",IF(Настройки_2026!$B$6="ДЕМО",1,IF(I452="ДЕМО",0,1)))</f>
        <v/>
      </c>
    </row>
    <row r="453" spans="1:14" x14ac:dyDescent="0.25">
      <c r="A453" s="26"/>
      <c r="B453" s="27"/>
      <c r="C453" s="27"/>
      <c r="D453" s="27"/>
      <c r="E453" s="28"/>
      <c r="F453" s="27"/>
      <c r="G453" s="27"/>
      <c r="H453" s="29"/>
      <c r="I453" s="27"/>
      <c r="J453" s="27"/>
      <c r="K453" s="30" t="str">
        <f t="shared" ref="K453:K504" si="7">IF(A453="","",MONTH(A453))</f>
        <v/>
      </c>
      <c r="L453" s="31">
        <f>IF(B453&lt;&gt;"Расход",0,IF(H453&lt;&gt;"",E453*H453,IFERROR(IF(VLOOKUP(D453,Категории!$A$3:$F$27,4,FALSE)="",0,E453*VLOOKUP(D453,Категории!$A$3:$F$27,4,FALSE)),0)))</f>
        <v>0</v>
      </c>
      <c r="M453" s="30" t="str">
        <f>IF(A453="","",IF(NOT(ISNUMBER(A453)),"ДАТА; ","")&amp;IF(NOT(ISNUMBER(E453)),"СУММА; ","")&amp;IF(AND(B453&lt;&gt;"",D453&lt;&gt;"",IFERROR(VLOOKUP(D453,Категории!$A$3:$B$27,2,FALSE),"")&lt;&gt;B453),"ТИП/КАТЕГОРИЯ; ","")&amp;IF(AND(B453="Доход",G453=""),"НЕТ № КВИТАНЦИИ; ","")&amp;IF(AND(B453="Расход",H453="",IFERROR(VLOOKUP(D453,Категории!$A$3:$D$27,4,FALSE),"")=""),"УКАЖИТЕ ДОЛЮ; ","")&amp;IF(COUNTIFS($A$5:$A$504,A453,$B$5:$B$504,B453,$C$5:$C$504,C453,$E$5:$E$504,E453)&gt;1,"ВОЗМОЖНЫЙ ДУБЛЬ; ","")&amp;IF(AND(A453&lt;&gt;"",A454&lt;&gt;"",A453&lt;A454),"ПОРЯДОК ДАТ; ",""))</f>
        <v/>
      </c>
      <c r="N453" s="30" t="str">
        <f>IF(A453="","",IF(Настройки_2026!$B$6="ДЕМО",1,IF(I453="ДЕМО",0,1)))</f>
        <v/>
      </c>
    </row>
    <row r="454" spans="1:14" x14ac:dyDescent="0.25">
      <c r="A454" s="26"/>
      <c r="B454" s="27"/>
      <c r="C454" s="27"/>
      <c r="D454" s="27"/>
      <c r="E454" s="28"/>
      <c r="F454" s="27"/>
      <c r="G454" s="27"/>
      <c r="H454" s="29"/>
      <c r="I454" s="27"/>
      <c r="J454" s="27"/>
      <c r="K454" s="30" t="str">
        <f t="shared" si="7"/>
        <v/>
      </c>
      <c r="L454" s="31">
        <f>IF(B454&lt;&gt;"Расход",0,IF(H454&lt;&gt;"",E454*H454,IFERROR(IF(VLOOKUP(D454,Категории!$A$3:$F$27,4,FALSE)="",0,E454*VLOOKUP(D454,Категории!$A$3:$F$27,4,FALSE)),0)))</f>
        <v>0</v>
      </c>
      <c r="M454" s="30" t="str">
        <f>IF(A454="","",IF(NOT(ISNUMBER(A454)),"ДАТА; ","")&amp;IF(NOT(ISNUMBER(E454)),"СУММА; ","")&amp;IF(AND(B454&lt;&gt;"",D454&lt;&gt;"",IFERROR(VLOOKUP(D454,Категории!$A$3:$B$27,2,FALSE),"")&lt;&gt;B454),"ТИП/КАТЕГОРИЯ; ","")&amp;IF(AND(B454="Доход",G454=""),"НЕТ № КВИТАНЦИИ; ","")&amp;IF(AND(B454="Расход",H454="",IFERROR(VLOOKUP(D454,Категории!$A$3:$D$27,4,FALSE),"")=""),"УКАЖИТЕ ДОЛЮ; ","")&amp;IF(COUNTIFS($A$5:$A$504,A454,$B$5:$B$504,B454,$C$5:$C$504,C454,$E$5:$E$504,E454)&gt;1,"ВОЗМОЖНЫЙ ДУБЛЬ; ","")&amp;IF(AND(A454&lt;&gt;"",A455&lt;&gt;"",A454&lt;A455),"ПОРЯДОК ДАТ; ",""))</f>
        <v/>
      </c>
      <c r="N454" s="30" t="str">
        <f>IF(A454="","",IF(Настройки_2026!$B$6="ДЕМО",1,IF(I454="ДЕМО",0,1)))</f>
        <v/>
      </c>
    </row>
    <row r="455" spans="1:14" x14ac:dyDescent="0.25">
      <c r="A455" s="26"/>
      <c r="B455" s="27"/>
      <c r="C455" s="27"/>
      <c r="D455" s="27"/>
      <c r="E455" s="28"/>
      <c r="F455" s="27"/>
      <c r="G455" s="27"/>
      <c r="H455" s="29"/>
      <c r="I455" s="27"/>
      <c r="J455" s="27"/>
      <c r="K455" s="30" t="str">
        <f t="shared" si="7"/>
        <v/>
      </c>
      <c r="L455" s="31">
        <f>IF(B455&lt;&gt;"Расход",0,IF(H455&lt;&gt;"",E455*H455,IFERROR(IF(VLOOKUP(D455,Категории!$A$3:$F$27,4,FALSE)="",0,E455*VLOOKUP(D455,Категории!$A$3:$F$27,4,FALSE)),0)))</f>
        <v>0</v>
      </c>
      <c r="M455" s="30" t="str">
        <f>IF(A455="","",IF(NOT(ISNUMBER(A455)),"ДАТА; ","")&amp;IF(NOT(ISNUMBER(E455)),"СУММА; ","")&amp;IF(AND(B455&lt;&gt;"",D455&lt;&gt;"",IFERROR(VLOOKUP(D455,Категории!$A$3:$B$27,2,FALSE),"")&lt;&gt;B455),"ТИП/КАТЕГОРИЯ; ","")&amp;IF(AND(B455="Доход",G455=""),"НЕТ № КВИТАНЦИИ; ","")&amp;IF(AND(B455="Расход",H455="",IFERROR(VLOOKUP(D455,Категории!$A$3:$D$27,4,FALSE),"")=""),"УКАЖИТЕ ДОЛЮ; ","")&amp;IF(COUNTIFS($A$5:$A$504,A455,$B$5:$B$504,B455,$C$5:$C$504,C455,$E$5:$E$504,E455)&gt;1,"ВОЗМОЖНЫЙ ДУБЛЬ; ","")&amp;IF(AND(A455&lt;&gt;"",A456&lt;&gt;"",A455&lt;A456),"ПОРЯДОК ДАТ; ",""))</f>
        <v/>
      </c>
      <c r="N455" s="30" t="str">
        <f>IF(A455="","",IF(Настройки_2026!$B$6="ДЕМО",1,IF(I455="ДЕМО",0,1)))</f>
        <v/>
      </c>
    </row>
    <row r="456" spans="1:14" x14ac:dyDescent="0.25">
      <c r="A456" s="26"/>
      <c r="B456" s="27"/>
      <c r="C456" s="27"/>
      <c r="D456" s="27"/>
      <c r="E456" s="28"/>
      <c r="F456" s="27"/>
      <c r="G456" s="27"/>
      <c r="H456" s="29"/>
      <c r="I456" s="27"/>
      <c r="J456" s="27"/>
      <c r="K456" s="30" t="str">
        <f t="shared" si="7"/>
        <v/>
      </c>
      <c r="L456" s="31">
        <f>IF(B456&lt;&gt;"Расход",0,IF(H456&lt;&gt;"",E456*H456,IFERROR(IF(VLOOKUP(D456,Категории!$A$3:$F$27,4,FALSE)="",0,E456*VLOOKUP(D456,Категории!$A$3:$F$27,4,FALSE)),0)))</f>
        <v>0</v>
      </c>
      <c r="M456" s="30" t="str">
        <f>IF(A456="","",IF(NOT(ISNUMBER(A456)),"ДАТА; ","")&amp;IF(NOT(ISNUMBER(E456)),"СУММА; ","")&amp;IF(AND(B456&lt;&gt;"",D456&lt;&gt;"",IFERROR(VLOOKUP(D456,Категории!$A$3:$B$27,2,FALSE),"")&lt;&gt;B456),"ТИП/КАТЕГОРИЯ; ","")&amp;IF(AND(B456="Доход",G456=""),"НЕТ № КВИТАНЦИИ; ","")&amp;IF(AND(B456="Расход",H456="",IFERROR(VLOOKUP(D456,Категории!$A$3:$D$27,4,FALSE),"")=""),"УКАЖИТЕ ДОЛЮ; ","")&amp;IF(COUNTIFS($A$5:$A$504,A456,$B$5:$B$504,B456,$C$5:$C$504,C456,$E$5:$E$504,E456)&gt;1,"ВОЗМОЖНЫЙ ДУБЛЬ; ","")&amp;IF(AND(A456&lt;&gt;"",A457&lt;&gt;"",A456&lt;A457),"ПОРЯДОК ДАТ; ",""))</f>
        <v/>
      </c>
      <c r="N456" s="30" t="str">
        <f>IF(A456="","",IF(Настройки_2026!$B$6="ДЕМО",1,IF(I456="ДЕМО",0,1)))</f>
        <v/>
      </c>
    </row>
    <row r="457" spans="1:14" x14ac:dyDescent="0.25">
      <c r="A457" s="26"/>
      <c r="B457" s="27"/>
      <c r="C457" s="27"/>
      <c r="D457" s="27"/>
      <c r="E457" s="28"/>
      <c r="F457" s="27"/>
      <c r="G457" s="27"/>
      <c r="H457" s="29"/>
      <c r="I457" s="27"/>
      <c r="J457" s="27"/>
      <c r="K457" s="30" t="str">
        <f t="shared" si="7"/>
        <v/>
      </c>
      <c r="L457" s="31">
        <f>IF(B457&lt;&gt;"Расход",0,IF(H457&lt;&gt;"",E457*H457,IFERROR(IF(VLOOKUP(D457,Категории!$A$3:$F$27,4,FALSE)="",0,E457*VLOOKUP(D457,Категории!$A$3:$F$27,4,FALSE)),0)))</f>
        <v>0</v>
      </c>
      <c r="M457" s="30" t="str">
        <f>IF(A457="","",IF(NOT(ISNUMBER(A457)),"ДАТА; ","")&amp;IF(NOT(ISNUMBER(E457)),"СУММА; ","")&amp;IF(AND(B457&lt;&gt;"",D457&lt;&gt;"",IFERROR(VLOOKUP(D457,Категории!$A$3:$B$27,2,FALSE),"")&lt;&gt;B457),"ТИП/КАТЕГОРИЯ; ","")&amp;IF(AND(B457="Доход",G457=""),"НЕТ № КВИТАНЦИИ; ","")&amp;IF(AND(B457="Расход",H457="",IFERROR(VLOOKUP(D457,Категории!$A$3:$D$27,4,FALSE),"")=""),"УКАЖИТЕ ДОЛЮ; ","")&amp;IF(COUNTIFS($A$5:$A$504,A457,$B$5:$B$504,B457,$C$5:$C$504,C457,$E$5:$E$504,E457)&gt;1,"ВОЗМОЖНЫЙ ДУБЛЬ; ","")&amp;IF(AND(A457&lt;&gt;"",A458&lt;&gt;"",A457&lt;A458),"ПОРЯДОК ДАТ; ",""))</f>
        <v/>
      </c>
      <c r="N457" s="30" t="str">
        <f>IF(A457="","",IF(Настройки_2026!$B$6="ДЕМО",1,IF(I457="ДЕМО",0,1)))</f>
        <v/>
      </c>
    </row>
    <row r="458" spans="1:14" x14ac:dyDescent="0.25">
      <c r="A458" s="26"/>
      <c r="B458" s="27"/>
      <c r="C458" s="27"/>
      <c r="D458" s="27"/>
      <c r="E458" s="28"/>
      <c r="F458" s="27"/>
      <c r="G458" s="27"/>
      <c r="H458" s="29"/>
      <c r="I458" s="27"/>
      <c r="J458" s="27"/>
      <c r="K458" s="30" t="str">
        <f t="shared" si="7"/>
        <v/>
      </c>
      <c r="L458" s="31">
        <f>IF(B458&lt;&gt;"Расход",0,IF(H458&lt;&gt;"",E458*H458,IFERROR(IF(VLOOKUP(D458,Категории!$A$3:$F$27,4,FALSE)="",0,E458*VLOOKUP(D458,Категории!$A$3:$F$27,4,FALSE)),0)))</f>
        <v>0</v>
      </c>
      <c r="M458" s="30" t="str">
        <f>IF(A458="","",IF(NOT(ISNUMBER(A458)),"ДАТА; ","")&amp;IF(NOT(ISNUMBER(E458)),"СУММА; ","")&amp;IF(AND(B458&lt;&gt;"",D458&lt;&gt;"",IFERROR(VLOOKUP(D458,Категории!$A$3:$B$27,2,FALSE),"")&lt;&gt;B458),"ТИП/КАТЕГОРИЯ; ","")&amp;IF(AND(B458="Доход",G458=""),"НЕТ № КВИТАНЦИИ; ","")&amp;IF(AND(B458="Расход",H458="",IFERROR(VLOOKUP(D458,Категории!$A$3:$D$27,4,FALSE),"")=""),"УКАЖИТЕ ДОЛЮ; ","")&amp;IF(COUNTIFS($A$5:$A$504,A458,$B$5:$B$504,B458,$C$5:$C$504,C458,$E$5:$E$504,E458)&gt;1,"ВОЗМОЖНЫЙ ДУБЛЬ; ","")&amp;IF(AND(A458&lt;&gt;"",A459&lt;&gt;"",A458&lt;A459),"ПОРЯДОК ДАТ; ",""))</f>
        <v/>
      </c>
      <c r="N458" s="30" t="str">
        <f>IF(A458="","",IF(Настройки_2026!$B$6="ДЕМО",1,IF(I458="ДЕМО",0,1)))</f>
        <v/>
      </c>
    </row>
    <row r="459" spans="1:14" x14ac:dyDescent="0.25">
      <c r="A459" s="26"/>
      <c r="B459" s="27"/>
      <c r="C459" s="27"/>
      <c r="D459" s="27"/>
      <c r="E459" s="28"/>
      <c r="F459" s="27"/>
      <c r="G459" s="27"/>
      <c r="H459" s="29"/>
      <c r="I459" s="27"/>
      <c r="J459" s="27"/>
      <c r="K459" s="30" t="str">
        <f t="shared" si="7"/>
        <v/>
      </c>
      <c r="L459" s="31">
        <f>IF(B459&lt;&gt;"Расход",0,IF(H459&lt;&gt;"",E459*H459,IFERROR(IF(VLOOKUP(D459,Категории!$A$3:$F$27,4,FALSE)="",0,E459*VLOOKUP(D459,Категории!$A$3:$F$27,4,FALSE)),0)))</f>
        <v>0</v>
      </c>
      <c r="M459" s="30" t="str">
        <f>IF(A459="","",IF(NOT(ISNUMBER(A459)),"ДАТА; ","")&amp;IF(NOT(ISNUMBER(E459)),"СУММА; ","")&amp;IF(AND(B459&lt;&gt;"",D459&lt;&gt;"",IFERROR(VLOOKUP(D459,Категории!$A$3:$B$27,2,FALSE),"")&lt;&gt;B459),"ТИП/КАТЕГОРИЯ; ","")&amp;IF(AND(B459="Доход",G459=""),"НЕТ № КВИТАНЦИИ; ","")&amp;IF(AND(B459="Расход",H459="",IFERROR(VLOOKUP(D459,Категории!$A$3:$D$27,4,FALSE),"")=""),"УКАЖИТЕ ДОЛЮ; ","")&amp;IF(COUNTIFS($A$5:$A$504,A459,$B$5:$B$504,B459,$C$5:$C$504,C459,$E$5:$E$504,E459)&gt;1,"ВОЗМОЖНЫЙ ДУБЛЬ; ","")&amp;IF(AND(A459&lt;&gt;"",A460&lt;&gt;"",A459&lt;A460),"ПОРЯДОК ДАТ; ",""))</f>
        <v/>
      </c>
      <c r="N459" s="30" t="str">
        <f>IF(A459="","",IF(Настройки_2026!$B$6="ДЕМО",1,IF(I459="ДЕМО",0,1)))</f>
        <v/>
      </c>
    </row>
    <row r="460" spans="1:14" x14ac:dyDescent="0.25">
      <c r="A460" s="26"/>
      <c r="B460" s="27"/>
      <c r="C460" s="27"/>
      <c r="D460" s="27"/>
      <c r="E460" s="28"/>
      <c r="F460" s="27"/>
      <c r="G460" s="27"/>
      <c r="H460" s="29"/>
      <c r="I460" s="27"/>
      <c r="J460" s="27"/>
      <c r="K460" s="30" t="str">
        <f t="shared" si="7"/>
        <v/>
      </c>
      <c r="L460" s="31">
        <f>IF(B460&lt;&gt;"Расход",0,IF(H460&lt;&gt;"",E460*H460,IFERROR(IF(VLOOKUP(D460,Категории!$A$3:$F$27,4,FALSE)="",0,E460*VLOOKUP(D460,Категории!$A$3:$F$27,4,FALSE)),0)))</f>
        <v>0</v>
      </c>
      <c r="M460" s="30" t="str">
        <f>IF(A460="","",IF(NOT(ISNUMBER(A460)),"ДАТА; ","")&amp;IF(NOT(ISNUMBER(E460)),"СУММА; ","")&amp;IF(AND(B460&lt;&gt;"",D460&lt;&gt;"",IFERROR(VLOOKUP(D460,Категории!$A$3:$B$27,2,FALSE),"")&lt;&gt;B460),"ТИП/КАТЕГОРИЯ; ","")&amp;IF(AND(B460="Доход",G460=""),"НЕТ № КВИТАНЦИИ; ","")&amp;IF(AND(B460="Расход",H460="",IFERROR(VLOOKUP(D460,Категории!$A$3:$D$27,4,FALSE),"")=""),"УКАЖИТЕ ДОЛЮ; ","")&amp;IF(COUNTIFS($A$5:$A$504,A460,$B$5:$B$504,B460,$C$5:$C$504,C460,$E$5:$E$504,E460)&gt;1,"ВОЗМОЖНЫЙ ДУБЛЬ; ","")&amp;IF(AND(A460&lt;&gt;"",A461&lt;&gt;"",A460&lt;A461),"ПОРЯДОК ДАТ; ",""))</f>
        <v/>
      </c>
      <c r="N460" s="30" t="str">
        <f>IF(A460="","",IF(Настройки_2026!$B$6="ДЕМО",1,IF(I460="ДЕМО",0,1)))</f>
        <v/>
      </c>
    </row>
    <row r="461" spans="1:14" x14ac:dyDescent="0.25">
      <c r="A461" s="26"/>
      <c r="B461" s="27"/>
      <c r="C461" s="27"/>
      <c r="D461" s="27"/>
      <c r="E461" s="28"/>
      <c r="F461" s="27"/>
      <c r="G461" s="27"/>
      <c r="H461" s="29"/>
      <c r="I461" s="27"/>
      <c r="J461" s="27"/>
      <c r="K461" s="30" t="str">
        <f t="shared" si="7"/>
        <v/>
      </c>
      <c r="L461" s="31">
        <f>IF(B461&lt;&gt;"Расход",0,IF(H461&lt;&gt;"",E461*H461,IFERROR(IF(VLOOKUP(D461,Категории!$A$3:$F$27,4,FALSE)="",0,E461*VLOOKUP(D461,Категории!$A$3:$F$27,4,FALSE)),0)))</f>
        <v>0</v>
      </c>
      <c r="M461" s="30" t="str">
        <f>IF(A461="","",IF(NOT(ISNUMBER(A461)),"ДАТА; ","")&amp;IF(NOT(ISNUMBER(E461)),"СУММА; ","")&amp;IF(AND(B461&lt;&gt;"",D461&lt;&gt;"",IFERROR(VLOOKUP(D461,Категории!$A$3:$B$27,2,FALSE),"")&lt;&gt;B461),"ТИП/КАТЕГОРИЯ; ","")&amp;IF(AND(B461="Доход",G461=""),"НЕТ № КВИТАНЦИИ; ","")&amp;IF(AND(B461="Расход",H461="",IFERROR(VLOOKUP(D461,Категории!$A$3:$D$27,4,FALSE),"")=""),"УКАЖИТЕ ДОЛЮ; ","")&amp;IF(COUNTIFS($A$5:$A$504,A461,$B$5:$B$504,B461,$C$5:$C$504,C461,$E$5:$E$504,E461)&gt;1,"ВОЗМОЖНЫЙ ДУБЛЬ; ","")&amp;IF(AND(A461&lt;&gt;"",A462&lt;&gt;"",A461&lt;A462),"ПОРЯДОК ДАТ; ",""))</f>
        <v/>
      </c>
      <c r="N461" s="30" t="str">
        <f>IF(A461="","",IF(Настройки_2026!$B$6="ДЕМО",1,IF(I461="ДЕМО",0,1)))</f>
        <v/>
      </c>
    </row>
    <row r="462" spans="1:14" x14ac:dyDescent="0.25">
      <c r="A462" s="26"/>
      <c r="B462" s="27"/>
      <c r="C462" s="27"/>
      <c r="D462" s="27"/>
      <c r="E462" s="28"/>
      <c r="F462" s="27"/>
      <c r="G462" s="27"/>
      <c r="H462" s="29"/>
      <c r="I462" s="27"/>
      <c r="J462" s="27"/>
      <c r="K462" s="30" t="str">
        <f t="shared" si="7"/>
        <v/>
      </c>
      <c r="L462" s="31">
        <f>IF(B462&lt;&gt;"Расход",0,IF(H462&lt;&gt;"",E462*H462,IFERROR(IF(VLOOKUP(D462,Категории!$A$3:$F$27,4,FALSE)="",0,E462*VLOOKUP(D462,Категории!$A$3:$F$27,4,FALSE)),0)))</f>
        <v>0</v>
      </c>
      <c r="M462" s="30" t="str">
        <f>IF(A462="","",IF(NOT(ISNUMBER(A462)),"ДАТА; ","")&amp;IF(NOT(ISNUMBER(E462)),"СУММА; ","")&amp;IF(AND(B462&lt;&gt;"",D462&lt;&gt;"",IFERROR(VLOOKUP(D462,Категории!$A$3:$B$27,2,FALSE),"")&lt;&gt;B462),"ТИП/КАТЕГОРИЯ; ","")&amp;IF(AND(B462="Доход",G462=""),"НЕТ № КВИТАНЦИИ; ","")&amp;IF(AND(B462="Расход",H462="",IFERROR(VLOOKUP(D462,Категории!$A$3:$D$27,4,FALSE),"")=""),"УКАЖИТЕ ДОЛЮ; ","")&amp;IF(COUNTIFS($A$5:$A$504,A462,$B$5:$B$504,B462,$C$5:$C$504,C462,$E$5:$E$504,E462)&gt;1,"ВОЗМОЖНЫЙ ДУБЛЬ; ","")&amp;IF(AND(A462&lt;&gt;"",A463&lt;&gt;"",A462&lt;A463),"ПОРЯДОК ДАТ; ",""))</f>
        <v/>
      </c>
      <c r="N462" s="30" t="str">
        <f>IF(A462="","",IF(Настройки_2026!$B$6="ДЕМО",1,IF(I462="ДЕМО",0,1)))</f>
        <v/>
      </c>
    </row>
    <row r="463" spans="1:14" x14ac:dyDescent="0.25">
      <c r="A463" s="26"/>
      <c r="B463" s="27"/>
      <c r="C463" s="27"/>
      <c r="D463" s="27"/>
      <c r="E463" s="28"/>
      <c r="F463" s="27"/>
      <c r="G463" s="27"/>
      <c r="H463" s="29"/>
      <c r="I463" s="27"/>
      <c r="J463" s="27"/>
      <c r="K463" s="30" t="str">
        <f t="shared" si="7"/>
        <v/>
      </c>
      <c r="L463" s="31">
        <f>IF(B463&lt;&gt;"Расход",0,IF(H463&lt;&gt;"",E463*H463,IFERROR(IF(VLOOKUP(D463,Категории!$A$3:$F$27,4,FALSE)="",0,E463*VLOOKUP(D463,Категории!$A$3:$F$27,4,FALSE)),0)))</f>
        <v>0</v>
      </c>
      <c r="M463" s="30" t="str">
        <f>IF(A463="","",IF(NOT(ISNUMBER(A463)),"ДАТА; ","")&amp;IF(NOT(ISNUMBER(E463)),"СУММА; ","")&amp;IF(AND(B463&lt;&gt;"",D463&lt;&gt;"",IFERROR(VLOOKUP(D463,Категории!$A$3:$B$27,2,FALSE),"")&lt;&gt;B463),"ТИП/КАТЕГОРИЯ; ","")&amp;IF(AND(B463="Доход",G463=""),"НЕТ № КВИТАНЦИИ; ","")&amp;IF(AND(B463="Расход",H463="",IFERROR(VLOOKUP(D463,Категории!$A$3:$D$27,4,FALSE),"")=""),"УКАЖИТЕ ДОЛЮ; ","")&amp;IF(COUNTIFS($A$5:$A$504,A463,$B$5:$B$504,B463,$C$5:$C$504,C463,$E$5:$E$504,E463)&gt;1,"ВОЗМОЖНЫЙ ДУБЛЬ; ","")&amp;IF(AND(A463&lt;&gt;"",A464&lt;&gt;"",A463&lt;A464),"ПОРЯДОК ДАТ; ",""))</f>
        <v/>
      </c>
      <c r="N463" s="30" t="str">
        <f>IF(A463="","",IF(Настройки_2026!$B$6="ДЕМО",1,IF(I463="ДЕМО",0,1)))</f>
        <v/>
      </c>
    </row>
    <row r="464" spans="1:14" x14ac:dyDescent="0.25">
      <c r="A464" s="26"/>
      <c r="B464" s="27"/>
      <c r="C464" s="27"/>
      <c r="D464" s="27"/>
      <c r="E464" s="28"/>
      <c r="F464" s="27"/>
      <c r="G464" s="27"/>
      <c r="H464" s="29"/>
      <c r="I464" s="27"/>
      <c r="J464" s="27"/>
      <c r="K464" s="30" t="str">
        <f t="shared" si="7"/>
        <v/>
      </c>
      <c r="L464" s="31">
        <f>IF(B464&lt;&gt;"Расход",0,IF(H464&lt;&gt;"",E464*H464,IFERROR(IF(VLOOKUP(D464,Категории!$A$3:$F$27,4,FALSE)="",0,E464*VLOOKUP(D464,Категории!$A$3:$F$27,4,FALSE)),0)))</f>
        <v>0</v>
      </c>
      <c r="M464" s="30" t="str">
        <f>IF(A464="","",IF(NOT(ISNUMBER(A464)),"ДАТА; ","")&amp;IF(NOT(ISNUMBER(E464)),"СУММА; ","")&amp;IF(AND(B464&lt;&gt;"",D464&lt;&gt;"",IFERROR(VLOOKUP(D464,Категории!$A$3:$B$27,2,FALSE),"")&lt;&gt;B464),"ТИП/КАТЕГОРИЯ; ","")&amp;IF(AND(B464="Доход",G464=""),"НЕТ № КВИТАНЦИИ; ","")&amp;IF(AND(B464="Расход",H464="",IFERROR(VLOOKUP(D464,Категории!$A$3:$D$27,4,FALSE),"")=""),"УКАЖИТЕ ДОЛЮ; ","")&amp;IF(COUNTIFS($A$5:$A$504,A464,$B$5:$B$504,B464,$C$5:$C$504,C464,$E$5:$E$504,E464)&gt;1,"ВОЗМОЖНЫЙ ДУБЛЬ; ","")&amp;IF(AND(A464&lt;&gt;"",A465&lt;&gt;"",A464&lt;A465),"ПОРЯДОК ДАТ; ",""))</f>
        <v/>
      </c>
      <c r="N464" s="30" t="str">
        <f>IF(A464="","",IF(Настройки_2026!$B$6="ДЕМО",1,IF(I464="ДЕМО",0,1)))</f>
        <v/>
      </c>
    </row>
    <row r="465" spans="1:14" x14ac:dyDescent="0.25">
      <c r="A465" s="26"/>
      <c r="B465" s="27"/>
      <c r="C465" s="27"/>
      <c r="D465" s="27"/>
      <c r="E465" s="28"/>
      <c r="F465" s="27"/>
      <c r="G465" s="27"/>
      <c r="H465" s="29"/>
      <c r="I465" s="27"/>
      <c r="J465" s="27"/>
      <c r="K465" s="30" t="str">
        <f t="shared" si="7"/>
        <v/>
      </c>
      <c r="L465" s="31">
        <f>IF(B465&lt;&gt;"Расход",0,IF(H465&lt;&gt;"",E465*H465,IFERROR(IF(VLOOKUP(D465,Категории!$A$3:$F$27,4,FALSE)="",0,E465*VLOOKUP(D465,Категории!$A$3:$F$27,4,FALSE)),0)))</f>
        <v>0</v>
      </c>
      <c r="M465" s="30" t="str">
        <f>IF(A465="","",IF(NOT(ISNUMBER(A465)),"ДАТА; ","")&amp;IF(NOT(ISNUMBER(E465)),"СУММА; ","")&amp;IF(AND(B465&lt;&gt;"",D465&lt;&gt;"",IFERROR(VLOOKUP(D465,Категории!$A$3:$B$27,2,FALSE),"")&lt;&gt;B465),"ТИП/КАТЕГОРИЯ; ","")&amp;IF(AND(B465="Доход",G465=""),"НЕТ № КВИТАНЦИИ; ","")&amp;IF(AND(B465="Расход",H465="",IFERROR(VLOOKUP(D465,Категории!$A$3:$D$27,4,FALSE),"")=""),"УКАЖИТЕ ДОЛЮ; ","")&amp;IF(COUNTIFS($A$5:$A$504,A465,$B$5:$B$504,B465,$C$5:$C$504,C465,$E$5:$E$504,E465)&gt;1,"ВОЗМОЖНЫЙ ДУБЛЬ; ","")&amp;IF(AND(A465&lt;&gt;"",A466&lt;&gt;"",A465&lt;A466),"ПОРЯДОК ДАТ; ",""))</f>
        <v/>
      </c>
      <c r="N465" s="30" t="str">
        <f>IF(A465="","",IF(Настройки_2026!$B$6="ДЕМО",1,IF(I465="ДЕМО",0,1)))</f>
        <v/>
      </c>
    </row>
    <row r="466" spans="1:14" x14ac:dyDescent="0.25">
      <c r="A466" s="26"/>
      <c r="B466" s="27"/>
      <c r="C466" s="27"/>
      <c r="D466" s="27"/>
      <c r="E466" s="28"/>
      <c r="F466" s="27"/>
      <c r="G466" s="27"/>
      <c r="H466" s="29"/>
      <c r="I466" s="27"/>
      <c r="J466" s="27"/>
      <c r="K466" s="30" t="str">
        <f t="shared" si="7"/>
        <v/>
      </c>
      <c r="L466" s="31">
        <f>IF(B466&lt;&gt;"Расход",0,IF(H466&lt;&gt;"",E466*H466,IFERROR(IF(VLOOKUP(D466,Категории!$A$3:$F$27,4,FALSE)="",0,E466*VLOOKUP(D466,Категории!$A$3:$F$27,4,FALSE)),0)))</f>
        <v>0</v>
      </c>
      <c r="M466" s="30" t="str">
        <f>IF(A466="","",IF(NOT(ISNUMBER(A466)),"ДАТА; ","")&amp;IF(NOT(ISNUMBER(E466)),"СУММА; ","")&amp;IF(AND(B466&lt;&gt;"",D466&lt;&gt;"",IFERROR(VLOOKUP(D466,Категории!$A$3:$B$27,2,FALSE),"")&lt;&gt;B466),"ТИП/КАТЕГОРИЯ; ","")&amp;IF(AND(B466="Доход",G466=""),"НЕТ № КВИТАНЦИИ; ","")&amp;IF(AND(B466="Расход",H466="",IFERROR(VLOOKUP(D466,Категории!$A$3:$D$27,4,FALSE),"")=""),"УКАЖИТЕ ДОЛЮ; ","")&amp;IF(COUNTIFS($A$5:$A$504,A466,$B$5:$B$504,B466,$C$5:$C$504,C466,$E$5:$E$504,E466)&gt;1,"ВОЗМОЖНЫЙ ДУБЛЬ; ","")&amp;IF(AND(A466&lt;&gt;"",A467&lt;&gt;"",A466&lt;A467),"ПОРЯДОК ДАТ; ",""))</f>
        <v/>
      </c>
      <c r="N466" s="30" t="str">
        <f>IF(A466="","",IF(Настройки_2026!$B$6="ДЕМО",1,IF(I466="ДЕМО",0,1)))</f>
        <v/>
      </c>
    </row>
    <row r="467" spans="1:14" x14ac:dyDescent="0.25">
      <c r="A467" s="26"/>
      <c r="B467" s="27"/>
      <c r="C467" s="27"/>
      <c r="D467" s="27"/>
      <c r="E467" s="28"/>
      <c r="F467" s="27"/>
      <c r="G467" s="27"/>
      <c r="H467" s="29"/>
      <c r="I467" s="27"/>
      <c r="J467" s="27"/>
      <c r="K467" s="30" t="str">
        <f t="shared" si="7"/>
        <v/>
      </c>
      <c r="L467" s="31">
        <f>IF(B467&lt;&gt;"Расход",0,IF(H467&lt;&gt;"",E467*H467,IFERROR(IF(VLOOKUP(D467,Категории!$A$3:$F$27,4,FALSE)="",0,E467*VLOOKUP(D467,Категории!$A$3:$F$27,4,FALSE)),0)))</f>
        <v>0</v>
      </c>
      <c r="M467" s="30" t="str">
        <f>IF(A467="","",IF(NOT(ISNUMBER(A467)),"ДАТА; ","")&amp;IF(NOT(ISNUMBER(E467)),"СУММА; ","")&amp;IF(AND(B467&lt;&gt;"",D467&lt;&gt;"",IFERROR(VLOOKUP(D467,Категории!$A$3:$B$27,2,FALSE),"")&lt;&gt;B467),"ТИП/КАТЕГОРИЯ; ","")&amp;IF(AND(B467="Доход",G467=""),"НЕТ № КВИТАНЦИИ; ","")&amp;IF(AND(B467="Расход",H467="",IFERROR(VLOOKUP(D467,Категории!$A$3:$D$27,4,FALSE),"")=""),"УКАЖИТЕ ДОЛЮ; ","")&amp;IF(COUNTIFS($A$5:$A$504,A467,$B$5:$B$504,B467,$C$5:$C$504,C467,$E$5:$E$504,E467)&gt;1,"ВОЗМОЖНЫЙ ДУБЛЬ; ","")&amp;IF(AND(A467&lt;&gt;"",A468&lt;&gt;"",A467&lt;A468),"ПОРЯДОК ДАТ; ",""))</f>
        <v/>
      </c>
      <c r="N467" s="30" t="str">
        <f>IF(A467="","",IF(Настройки_2026!$B$6="ДЕМО",1,IF(I467="ДЕМО",0,1)))</f>
        <v/>
      </c>
    </row>
    <row r="468" spans="1:14" x14ac:dyDescent="0.25">
      <c r="A468" s="26"/>
      <c r="B468" s="27"/>
      <c r="C468" s="27"/>
      <c r="D468" s="27"/>
      <c r="E468" s="28"/>
      <c r="F468" s="27"/>
      <c r="G468" s="27"/>
      <c r="H468" s="29"/>
      <c r="I468" s="27"/>
      <c r="J468" s="27"/>
      <c r="K468" s="30" t="str">
        <f t="shared" si="7"/>
        <v/>
      </c>
      <c r="L468" s="31">
        <f>IF(B468&lt;&gt;"Расход",0,IF(H468&lt;&gt;"",E468*H468,IFERROR(IF(VLOOKUP(D468,Категории!$A$3:$F$27,4,FALSE)="",0,E468*VLOOKUP(D468,Категории!$A$3:$F$27,4,FALSE)),0)))</f>
        <v>0</v>
      </c>
      <c r="M468" s="30" t="str">
        <f>IF(A468="","",IF(NOT(ISNUMBER(A468)),"ДАТА; ","")&amp;IF(NOT(ISNUMBER(E468)),"СУММА; ","")&amp;IF(AND(B468&lt;&gt;"",D468&lt;&gt;"",IFERROR(VLOOKUP(D468,Категории!$A$3:$B$27,2,FALSE),"")&lt;&gt;B468),"ТИП/КАТЕГОРИЯ; ","")&amp;IF(AND(B468="Доход",G468=""),"НЕТ № КВИТАНЦИИ; ","")&amp;IF(AND(B468="Расход",H468="",IFERROR(VLOOKUP(D468,Категории!$A$3:$D$27,4,FALSE),"")=""),"УКАЖИТЕ ДОЛЮ; ","")&amp;IF(COUNTIFS($A$5:$A$504,A468,$B$5:$B$504,B468,$C$5:$C$504,C468,$E$5:$E$504,E468)&gt;1,"ВОЗМОЖНЫЙ ДУБЛЬ; ","")&amp;IF(AND(A468&lt;&gt;"",A469&lt;&gt;"",A468&lt;A469),"ПОРЯДОК ДАТ; ",""))</f>
        <v/>
      </c>
      <c r="N468" s="30" t="str">
        <f>IF(A468="","",IF(Настройки_2026!$B$6="ДЕМО",1,IF(I468="ДЕМО",0,1)))</f>
        <v/>
      </c>
    </row>
    <row r="469" spans="1:14" x14ac:dyDescent="0.25">
      <c r="A469" s="26"/>
      <c r="B469" s="27"/>
      <c r="C469" s="27"/>
      <c r="D469" s="27"/>
      <c r="E469" s="28"/>
      <c r="F469" s="27"/>
      <c r="G469" s="27"/>
      <c r="H469" s="29"/>
      <c r="I469" s="27"/>
      <c r="J469" s="27"/>
      <c r="K469" s="30" t="str">
        <f t="shared" si="7"/>
        <v/>
      </c>
      <c r="L469" s="31">
        <f>IF(B469&lt;&gt;"Расход",0,IF(H469&lt;&gt;"",E469*H469,IFERROR(IF(VLOOKUP(D469,Категории!$A$3:$F$27,4,FALSE)="",0,E469*VLOOKUP(D469,Категории!$A$3:$F$27,4,FALSE)),0)))</f>
        <v>0</v>
      </c>
      <c r="M469" s="30" t="str">
        <f>IF(A469="","",IF(NOT(ISNUMBER(A469)),"ДАТА; ","")&amp;IF(NOT(ISNUMBER(E469)),"СУММА; ","")&amp;IF(AND(B469&lt;&gt;"",D469&lt;&gt;"",IFERROR(VLOOKUP(D469,Категории!$A$3:$B$27,2,FALSE),"")&lt;&gt;B469),"ТИП/КАТЕГОРИЯ; ","")&amp;IF(AND(B469="Доход",G469=""),"НЕТ № КВИТАНЦИИ; ","")&amp;IF(AND(B469="Расход",H469="",IFERROR(VLOOKUP(D469,Категории!$A$3:$D$27,4,FALSE),"")=""),"УКАЖИТЕ ДОЛЮ; ","")&amp;IF(COUNTIFS($A$5:$A$504,A469,$B$5:$B$504,B469,$C$5:$C$504,C469,$E$5:$E$504,E469)&gt;1,"ВОЗМОЖНЫЙ ДУБЛЬ; ","")&amp;IF(AND(A469&lt;&gt;"",A470&lt;&gt;"",A469&lt;A470),"ПОРЯДОК ДАТ; ",""))</f>
        <v/>
      </c>
      <c r="N469" s="30" t="str">
        <f>IF(A469="","",IF(Настройки_2026!$B$6="ДЕМО",1,IF(I469="ДЕМО",0,1)))</f>
        <v/>
      </c>
    </row>
    <row r="470" spans="1:14" x14ac:dyDescent="0.25">
      <c r="A470" s="26"/>
      <c r="B470" s="27"/>
      <c r="C470" s="27"/>
      <c r="D470" s="27"/>
      <c r="E470" s="28"/>
      <c r="F470" s="27"/>
      <c r="G470" s="27"/>
      <c r="H470" s="29"/>
      <c r="I470" s="27"/>
      <c r="J470" s="27"/>
      <c r="K470" s="30" t="str">
        <f t="shared" si="7"/>
        <v/>
      </c>
      <c r="L470" s="31">
        <f>IF(B470&lt;&gt;"Расход",0,IF(H470&lt;&gt;"",E470*H470,IFERROR(IF(VLOOKUP(D470,Категории!$A$3:$F$27,4,FALSE)="",0,E470*VLOOKUP(D470,Категории!$A$3:$F$27,4,FALSE)),0)))</f>
        <v>0</v>
      </c>
      <c r="M470" s="30" t="str">
        <f>IF(A470="","",IF(NOT(ISNUMBER(A470)),"ДАТА; ","")&amp;IF(NOT(ISNUMBER(E470)),"СУММА; ","")&amp;IF(AND(B470&lt;&gt;"",D470&lt;&gt;"",IFERROR(VLOOKUP(D470,Категории!$A$3:$B$27,2,FALSE),"")&lt;&gt;B470),"ТИП/КАТЕГОРИЯ; ","")&amp;IF(AND(B470="Доход",G470=""),"НЕТ № КВИТАНЦИИ; ","")&amp;IF(AND(B470="Расход",H470="",IFERROR(VLOOKUP(D470,Категории!$A$3:$D$27,4,FALSE),"")=""),"УКАЖИТЕ ДОЛЮ; ","")&amp;IF(COUNTIFS($A$5:$A$504,A470,$B$5:$B$504,B470,$C$5:$C$504,C470,$E$5:$E$504,E470)&gt;1,"ВОЗМОЖНЫЙ ДУБЛЬ; ","")&amp;IF(AND(A470&lt;&gt;"",A471&lt;&gt;"",A470&lt;A471),"ПОРЯДОК ДАТ; ",""))</f>
        <v/>
      </c>
      <c r="N470" s="30" t="str">
        <f>IF(A470="","",IF(Настройки_2026!$B$6="ДЕМО",1,IF(I470="ДЕМО",0,1)))</f>
        <v/>
      </c>
    </row>
    <row r="471" spans="1:14" x14ac:dyDescent="0.25">
      <c r="A471" s="26"/>
      <c r="B471" s="27"/>
      <c r="C471" s="27"/>
      <c r="D471" s="27"/>
      <c r="E471" s="28"/>
      <c r="F471" s="27"/>
      <c r="G471" s="27"/>
      <c r="H471" s="29"/>
      <c r="I471" s="27"/>
      <c r="J471" s="27"/>
      <c r="K471" s="30" t="str">
        <f t="shared" si="7"/>
        <v/>
      </c>
      <c r="L471" s="31">
        <f>IF(B471&lt;&gt;"Расход",0,IF(H471&lt;&gt;"",E471*H471,IFERROR(IF(VLOOKUP(D471,Категории!$A$3:$F$27,4,FALSE)="",0,E471*VLOOKUP(D471,Категории!$A$3:$F$27,4,FALSE)),0)))</f>
        <v>0</v>
      </c>
      <c r="M471" s="30" t="str">
        <f>IF(A471="","",IF(NOT(ISNUMBER(A471)),"ДАТА; ","")&amp;IF(NOT(ISNUMBER(E471)),"СУММА; ","")&amp;IF(AND(B471&lt;&gt;"",D471&lt;&gt;"",IFERROR(VLOOKUP(D471,Категории!$A$3:$B$27,2,FALSE),"")&lt;&gt;B471),"ТИП/КАТЕГОРИЯ; ","")&amp;IF(AND(B471="Доход",G471=""),"НЕТ № КВИТАНЦИИ; ","")&amp;IF(AND(B471="Расход",H471="",IFERROR(VLOOKUP(D471,Категории!$A$3:$D$27,4,FALSE),"")=""),"УКАЖИТЕ ДОЛЮ; ","")&amp;IF(COUNTIFS($A$5:$A$504,A471,$B$5:$B$504,B471,$C$5:$C$504,C471,$E$5:$E$504,E471)&gt;1,"ВОЗМОЖНЫЙ ДУБЛЬ; ","")&amp;IF(AND(A471&lt;&gt;"",A472&lt;&gt;"",A471&lt;A472),"ПОРЯДОК ДАТ; ",""))</f>
        <v/>
      </c>
      <c r="N471" s="30" t="str">
        <f>IF(A471="","",IF(Настройки_2026!$B$6="ДЕМО",1,IF(I471="ДЕМО",0,1)))</f>
        <v/>
      </c>
    </row>
    <row r="472" spans="1:14" x14ac:dyDescent="0.25">
      <c r="A472" s="26"/>
      <c r="B472" s="27"/>
      <c r="C472" s="27"/>
      <c r="D472" s="27"/>
      <c r="E472" s="28"/>
      <c r="F472" s="27"/>
      <c r="G472" s="27"/>
      <c r="H472" s="29"/>
      <c r="I472" s="27"/>
      <c r="J472" s="27"/>
      <c r="K472" s="30" t="str">
        <f t="shared" si="7"/>
        <v/>
      </c>
      <c r="L472" s="31">
        <f>IF(B472&lt;&gt;"Расход",0,IF(H472&lt;&gt;"",E472*H472,IFERROR(IF(VLOOKUP(D472,Категории!$A$3:$F$27,4,FALSE)="",0,E472*VLOOKUP(D472,Категории!$A$3:$F$27,4,FALSE)),0)))</f>
        <v>0</v>
      </c>
      <c r="M472" s="30" t="str">
        <f>IF(A472="","",IF(NOT(ISNUMBER(A472)),"ДАТА; ","")&amp;IF(NOT(ISNUMBER(E472)),"СУММА; ","")&amp;IF(AND(B472&lt;&gt;"",D472&lt;&gt;"",IFERROR(VLOOKUP(D472,Категории!$A$3:$B$27,2,FALSE),"")&lt;&gt;B472),"ТИП/КАТЕГОРИЯ; ","")&amp;IF(AND(B472="Доход",G472=""),"НЕТ № КВИТАНЦИИ; ","")&amp;IF(AND(B472="Расход",H472="",IFERROR(VLOOKUP(D472,Категории!$A$3:$D$27,4,FALSE),"")=""),"УКАЖИТЕ ДОЛЮ; ","")&amp;IF(COUNTIFS($A$5:$A$504,A472,$B$5:$B$504,B472,$C$5:$C$504,C472,$E$5:$E$504,E472)&gt;1,"ВОЗМОЖНЫЙ ДУБЛЬ; ","")&amp;IF(AND(A472&lt;&gt;"",A473&lt;&gt;"",A472&lt;A473),"ПОРЯДОК ДАТ; ",""))</f>
        <v/>
      </c>
      <c r="N472" s="30" t="str">
        <f>IF(A472="","",IF(Настройки_2026!$B$6="ДЕМО",1,IF(I472="ДЕМО",0,1)))</f>
        <v/>
      </c>
    </row>
    <row r="473" spans="1:14" x14ac:dyDescent="0.25">
      <c r="A473" s="26"/>
      <c r="B473" s="27"/>
      <c r="C473" s="27"/>
      <c r="D473" s="27"/>
      <c r="E473" s="28"/>
      <c r="F473" s="27"/>
      <c r="G473" s="27"/>
      <c r="H473" s="29"/>
      <c r="I473" s="27"/>
      <c r="J473" s="27"/>
      <c r="K473" s="30" t="str">
        <f t="shared" si="7"/>
        <v/>
      </c>
      <c r="L473" s="31">
        <f>IF(B473&lt;&gt;"Расход",0,IF(H473&lt;&gt;"",E473*H473,IFERROR(IF(VLOOKUP(D473,Категории!$A$3:$F$27,4,FALSE)="",0,E473*VLOOKUP(D473,Категории!$A$3:$F$27,4,FALSE)),0)))</f>
        <v>0</v>
      </c>
      <c r="M473" s="30" t="str">
        <f>IF(A473="","",IF(NOT(ISNUMBER(A473)),"ДАТА; ","")&amp;IF(NOT(ISNUMBER(E473)),"СУММА; ","")&amp;IF(AND(B473&lt;&gt;"",D473&lt;&gt;"",IFERROR(VLOOKUP(D473,Категории!$A$3:$B$27,2,FALSE),"")&lt;&gt;B473),"ТИП/КАТЕГОРИЯ; ","")&amp;IF(AND(B473="Доход",G473=""),"НЕТ № КВИТАНЦИИ; ","")&amp;IF(AND(B473="Расход",H473="",IFERROR(VLOOKUP(D473,Категории!$A$3:$D$27,4,FALSE),"")=""),"УКАЖИТЕ ДОЛЮ; ","")&amp;IF(COUNTIFS($A$5:$A$504,A473,$B$5:$B$504,B473,$C$5:$C$504,C473,$E$5:$E$504,E473)&gt;1,"ВОЗМОЖНЫЙ ДУБЛЬ; ","")&amp;IF(AND(A473&lt;&gt;"",A474&lt;&gt;"",A473&lt;A474),"ПОРЯДОК ДАТ; ",""))</f>
        <v/>
      </c>
      <c r="N473" s="30" t="str">
        <f>IF(A473="","",IF(Настройки_2026!$B$6="ДЕМО",1,IF(I473="ДЕМО",0,1)))</f>
        <v/>
      </c>
    </row>
    <row r="474" spans="1:14" x14ac:dyDescent="0.25">
      <c r="A474" s="26"/>
      <c r="B474" s="27"/>
      <c r="C474" s="27"/>
      <c r="D474" s="27"/>
      <c r="E474" s="28"/>
      <c r="F474" s="27"/>
      <c r="G474" s="27"/>
      <c r="H474" s="29"/>
      <c r="I474" s="27"/>
      <c r="J474" s="27"/>
      <c r="K474" s="30" t="str">
        <f t="shared" si="7"/>
        <v/>
      </c>
      <c r="L474" s="31">
        <f>IF(B474&lt;&gt;"Расход",0,IF(H474&lt;&gt;"",E474*H474,IFERROR(IF(VLOOKUP(D474,Категории!$A$3:$F$27,4,FALSE)="",0,E474*VLOOKUP(D474,Категории!$A$3:$F$27,4,FALSE)),0)))</f>
        <v>0</v>
      </c>
      <c r="M474" s="30" t="str">
        <f>IF(A474="","",IF(NOT(ISNUMBER(A474)),"ДАТА; ","")&amp;IF(NOT(ISNUMBER(E474)),"СУММА; ","")&amp;IF(AND(B474&lt;&gt;"",D474&lt;&gt;"",IFERROR(VLOOKUP(D474,Категории!$A$3:$B$27,2,FALSE),"")&lt;&gt;B474),"ТИП/КАТЕГОРИЯ; ","")&amp;IF(AND(B474="Доход",G474=""),"НЕТ № КВИТАНЦИИ; ","")&amp;IF(AND(B474="Расход",H474="",IFERROR(VLOOKUP(D474,Категории!$A$3:$D$27,4,FALSE),"")=""),"УКАЖИТЕ ДОЛЮ; ","")&amp;IF(COUNTIFS($A$5:$A$504,A474,$B$5:$B$504,B474,$C$5:$C$504,C474,$E$5:$E$504,E474)&gt;1,"ВОЗМОЖНЫЙ ДУБЛЬ; ","")&amp;IF(AND(A474&lt;&gt;"",A475&lt;&gt;"",A474&lt;A475),"ПОРЯДОК ДАТ; ",""))</f>
        <v/>
      </c>
      <c r="N474" s="30" t="str">
        <f>IF(A474="","",IF(Настройки_2026!$B$6="ДЕМО",1,IF(I474="ДЕМО",0,1)))</f>
        <v/>
      </c>
    </row>
    <row r="475" spans="1:14" x14ac:dyDescent="0.25">
      <c r="A475" s="26"/>
      <c r="B475" s="27"/>
      <c r="C475" s="27"/>
      <c r="D475" s="27"/>
      <c r="E475" s="28"/>
      <c r="F475" s="27"/>
      <c r="G475" s="27"/>
      <c r="H475" s="29"/>
      <c r="I475" s="27"/>
      <c r="J475" s="27"/>
      <c r="K475" s="30" t="str">
        <f t="shared" si="7"/>
        <v/>
      </c>
      <c r="L475" s="31">
        <f>IF(B475&lt;&gt;"Расход",0,IF(H475&lt;&gt;"",E475*H475,IFERROR(IF(VLOOKUP(D475,Категории!$A$3:$F$27,4,FALSE)="",0,E475*VLOOKUP(D475,Категории!$A$3:$F$27,4,FALSE)),0)))</f>
        <v>0</v>
      </c>
      <c r="M475" s="30" t="str">
        <f>IF(A475="","",IF(NOT(ISNUMBER(A475)),"ДАТА; ","")&amp;IF(NOT(ISNUMBER(E475)),"СУММА; ","")&amp;IF(AND(B475&lt;&gt;"",D475&lt;&gt;"",IFERROR(VLOOKUP(D475,Категории!$A$3:$B$27,2,FALSE),"")&lt;&gt;B475),"ТИП/КАТЕГОРИЯ; ","")&amp;IF(AND(B475="Доход",G475=""),"НЕТ № КВИТАНЦИИ; ","")&amp;IF(AND(B475="Расход",H475="",IFERROR(VLOOKUP(D475,Категории!$A$3:$D$27,4,FALSE),"")=""),"УКАЖИТЕ ДОЛЮ; ","")&amp;IF(COUNTIFS($A$5:$A$504,A475,$B$5:$B$504,B475,$C$5:$C$504,C475,$E$5:$E$504,E475)&gt;1,"ВОЗМОЖНЫЙ ДУБЛЬ; ","")&amp;IF(AND(A475&lt;&gt;"",A476&lt;&gt;"",A475&lt;A476),"ПОРЯДОК ДАТ; ",""))</f>
        <v/>
      </c>
      <c r="N475" s="30" t="str">
        <f>IF(A475="","",IF(Настройки_2026!$B$6="ДЕМО",1,IF(I475="ДЕМО",0,1)))</f>
        <v/>
      </c>
    </row>
    <row r="476" spans="1:14" x14ac:dyDescent="0.25">
      <c r="A476" s="26"/>
      <c r="B476" s="27"/>
      <c r="C476" s="27"/>
      <c r="D476" s="27"/>
      <c r="E476" s="28"/>
      <c r="F476" s="27"/>
      <c r="G476" s="27"/>
      <c r="H476" s="29"/>
      <c r="I476" s="27"/>
      <c r="J476" s="27"/>
      <c r="K476" s="30" t="str">
        <f t="shared" si="7"/>
        <v/>
      </c>
      <c r="L476" s="31">
        <f>IF(B476&lt;&gt;"Расход",0,IF(H476&lt;&gt;"",E476*H476,IFERROR(IF(VLOOKUP(D476,Категории!$A$3:$F$27,4,FALSE)="",0,E476*VLOOKUP(D476,Категории!$A$3:$F$27,4,FALSE)),0)))</f>
        <v>0</v>
      </c>
      <c r="M476" s="30" t="str">
        <f>IF(A476="","",IF(NOT(ISNUMBER(A476)),"ДАТА; ","")&amp;IF(NOT(ISNUMBER(E476)),"СУММА; ","")&amp;IF(AND(B476&lt;&gt;"",D476&lt;&gt;"",IFERROR(VLOOKUP(D476,Категории!$A$3:$B$27,2,FALSE),"")&lt;&gt;B476),"ТИП/КАТЕГОРИЯ; ","")&amp;IF(AND(B476="Доход",G476=""),"НЕТ № КВИТАНЦИИ; ","")&amp;IF(AND(B476="Расход",H476="",IFERROR(VLOOKUP(D476,Категории!$A$3:$D$27,4,FALSE),"")=""),"УКАЖИТЕ ДОЛЮ; ","")&amp;IF(COUNTIFS($A$5:$A$504,A476,$B$5:$B$504,B476,$C$5:$C$504,C476,$E$5:$E$504,E476)&gt;1,"ВОЗМОЖНЫЙ ДУБЛЬ; ","")&amp;IF(AND(A476&lt;&gt;"",A477&lt;&gt;"",A476&lt;A477),"ПОРЯДОК ДАТ; ",""))</f>
        <v/>
      </c>
      <c r="N476" s="30" t="str">
        <f>IF(A476="","",IF(Настройки_2026!$B$6="ДЕМО",1,IF(I476="ДЕМО",0,1)))</f>
        <v/>
      </c>
    </row>
    <row r="477" spans="1:14" x14ac:dyDescent="0.25">
      <c r="A477" s="26"/>
      <c r="B477" s="27"/>
      <c r="C477" s="27"/>
      <c r="D477" s="27"/>
      <c r="E477" s="28"/>
      <c r="F477" s="27"/>
      <c r="G477" s="27"/>
      <c r="H477" s="29"/>
      <c r="I477" s="27"/>
      <c r="J477" s="27"/>
      <c r="K477" s="30" t="str">
        <f t="shared" si="7"/>
        <v/>
      </c>
      <c r="L477" s="31">
        <f>IF(B477&lt;&gt;"Расход",0,IF(H477&lt;&gt;"",E477*H477,IFERROR(IF(VLOOKUP(D477,Категории!$A$3:$F$27,4,FALSE)="",0,E477*VLOOKUP(D477,Категории!$A$3:$F$27,4,FALSE)),0)))</f>
        <v>0</v>
      </c>
      <c r="M477" s="30" t="str">
        <f>IF(A477="","",IF(NOT(ISNUMBER(A477)),"ДАТА; ","")&amp;IF(NOT(ISNUMBER(E477)),"СУММА; ","")&amp;IF(AND(B477&lt;&gt;"",D477&lt;&gt;"",IFERROR(VLOOKUP(D477,Категории!$A$3:$B$27,2,FALSE),"")&lt;&gt;B477),"ТИП/КАТЕГОРИЯ; ","")&amp;IF(AND(B477="Доход",G477=""),"НЕТ № КВИТАНЦИИ; ","")&amp;IF(AND(B477="Расход",H477="",IFERROR(VLOOKUP(D477,Категории!$A$3:$D$27,4,FALSE),"")=""),"УКАЖИТЕ ДОЛЮ; ","")&amp;IF(COUNTIFS($A$5:$A$504,A477,$B$5:$B$504,B477,$C$5:$C$504,C477,$E$5:$E$504,E477)&gt;1,"ВОЗМОЖНЫЙ ДУБЛЬ; ","")&amp;IF(AND(A477&lt;&gt;"",A478&lt;&gt;"",A477&lt;A478),"ПОРЯДОК ДАТ; ",""))</f>
        <v/>
      </c>
      <c r="N477" s="30" t="str">
        <f>IF(A477="","",IF(Настройки_2026!$B$6="ДЕМО",1,IF(I477="ДЕМО",0,1)))</f>
        <v/>
      </c>
    </row>
    <row r="478" spans="1:14" x14ac:dyDescent="0.25">
      <c r="A478" s="26"/>
      <c r="B478" s="27"/>
      <c r="C478" s="27"/>
      <c r="D478" s="27"/>
      <c r="E478" s="28"/>
      <c r="F478" s="27"/>
      <c r="G478" s="27"/>
      <c r="H478" s="29"/>
      <c r="I478" s="27"/>
      <c r="J478" s="27"/>
      <c r="K478" s="30" t="str">
        <f t="shared" si="7"/>
        <v/>
      </c>
      <c r="L478" s="31">
        <f>IF(B478&lt;&gt;"Расход",0,IF(H478&lt;&gt;"",E478*H478,IFERROR(IF(VLOOKUP(D478,Категории!$A$3:$F$27,4,FALSE)="",0,E478*VLOOKUP(D478,Категории!$A$3:$F$27,4,FALSE)),0)))</f>
        <v>0</v>
      </c>
      <c r="M478" s="30" t="str">
        <f>IF(A478="","",IF(NOT(ISNUMBER(A478)),"ДАТА; ","")&amp;IF(NOT(ISNUMBER(E478)),"СУММА; ","")&amp;IF(AND(B478&lt;&gt;"",D478&lt;&gt;"",IFERROR(VLOOKUP(D478,Категории!$A$3:$B$27,2,FALSE),"")&lt;&gt;B478),"ТИП/КАТЕГОРИЯ; ","")&amp;IF(AND(B478="Доход",G478=""),"НЕТ № КВИТАНЦИИ; ","")&amp;IF(AND(B478="Расход",H478="",IFERROR(VLOOKUP(D478,Категории!$A$3:$D$27,4,FALSE),"")=""),"УКАЖИТЕ ДОЛЮ; ","")&amp;IF(COUNTIFS($A$5:$A$504,A478,$B$5:$B$504,B478,$C$5:$C$504,C478,$E$5:$E$504,E478)&gt;1,"ВОЗМОЖНЫЙ ДУБЛЬ; ","")&amp;IF(AND(A478&lt;&gt;"",A479&lt;&gt;"",A478&lt;A479),"ПОРЯДОК ДАТ; ",""))</f>
        <v/>
      </c>
      <c r="N478" s="30" t="str">
        <f>IF(A478="","",IF(Настройки_2026!$B$6="ДЕМО",1,IF(I478="ДЕМО",0,1)))</f>
        <v/>
      </c>
    </row>
    <row r="479" spans="1:14" x14ac:dyDescent="0.25">
      <c r="A479" s="26"/>
      <c r="B479" s="27"/>
      <c r="C479" s="27"/>
      <c r="D479" s="27"/>
      <c r="E479" s="28"/>
      <c r="F479" s="27"/>
      <c r="G479" s="27"/>
      <c r="H479" s="29"/>
      <c r="I479" s="27"/>
      <c r="J479" s="27"/>
      <c r="K479" s="30" t="str">
        <f t="shared" si="7"/>
        <v/>
      </c>
      <c r="L479" s="31">
        <f>IF(B479&lt;&gt;"Расход",0,IF(H479&lt;&gt;"",E479*H479,IFERROR(IF(VLOOKUP(D479,Категории!$A$3:$F$27,4,FALSE)="",0,E479*VLOOKUP(D479,Категории!$A$3:$F$27,4,FALSE)),0)))</f>
        <v>0</v>
      </c>
      <c r="M479" s="30" t="str">
        <f>IF(A479="","",IF(NOT(ISNUMBER(A479)),"ДАТА; ","")&amp;IF(NOT(ISNUMBER(E479)),"СУММА; ","")&amp;IF(AND(B479&lt;&gt;"",D479&lt;&gt;"",IFERROR(VLOOKUP(D479,Категории!$A$3:$B$27,2,FALSE),"")&lt;&gt;B479),"ТИП/КАТЕГОРИЯ; ","")&amp;IF(AND(B479="Доход",G479=""),"НЕТ № КВИТАНЦИИ; ","")&amp;IF(AND(B479="Расход",H479="",IFERROR(VLOOKUP(D479,Категории!$A$3:$D$27,4,FALSE),"")=""),"УКАЖИТЕ ДОЛЮ; ","")&amp;IF(COUNTIFS($A$5:$A$504,A479,$B$5:$B$504,B479,$C$5:$C$504,C479,$E$5:$E$504,E479)&gt;1,"ВОЗМОЖНЫЙ ДУБЛЬ; ","")&amp;IF(AND(A479&lt;&gt;"",A480&lt;&gt;"",A479&lt;A480),"ПОРЯДОК ДАТ; ",""))</f>
        <v/>
      </c>
      <c r="N479" s="30" t="str">
        <f>IF(A479="","",IF(Настройки_2026!$B$6="ДЕМО",1,IF(I479="ДЕМО",0,1)))</f>
        <v/>
      </c>
    </row>
    <row r="480" spans="1:14" x14ac:dyDescent="0.25">
      <c r="A480" s="26"/>
      <c r="B480" s="27"/>
      <c r="C480" s="27"/>
      <c r="D480" s="27"/>
      <c r="E480" s="28"/>
      <c r="F480" s="27"/>
      <c r="G480" s="27"/>
      <c r="H480" s="29"/>
      <c r="I480" s="27"/>
      <c r="J480" s="27"/>
      <c r="K480" s="30" t="str">
        <f t="shared" si="7"/>
        <v/>
      </c>
      <c r="L480" s="31">
        <f>IF(B480&lt;&gt;"Расход",0,IF(H480&lt;&gt;"",E480*H480,IFERROR(IF(VLOOKUP(D480,Категории!$A$3:$F$27,4,FALSE)="",0,E480*VLOOKUP(D480,Категории!$A$3:$F$27,4,FALSE)),0)))</f>
        <v>0</v>
      </c>
      <c r="M480" s="30" t="str">
        <f>IF(A480="","",IF(NOT(ISNUMBER(A480)),"ДАТА; ","")&amp;IF(NOT(ISNUMBER(E480)),"СУММА; ","")&amp;IF(AND(B480&lt;&gt;"",D480&lt;&gt;"",IFERROR(VLOOKUP(D480,Категории!$A$3:$B$27,2,FALSE),"")&lt;&gt;B480),"ТИП/КАТЕГОРИЯ; ","")&amp;IF(AND(B480="Доход",G480=""),"НЕТ № КВИТАНЦИИ; ","")&amp;IF(AND(B480="Расход",H480="",IFERROR(VLOOKUP(D480,Категории!$A$3:$D$27,4,FALSE),"")=""),"УКАЖИТЕ ДОЛЮ; ","")&amp;IF(COUNTIFS($A$5:$A$504,A480,$B$5:$B$504,B480,$C$5:$C$504,C480,$E$5:$E$504,E480)&gt;1,"ВОЗМОЖНЫЙ ДУБЛЬ; ","")&amp;IF(AND(A480&lt;&gt;"",A481&lt;&gt;"",A480&lt;A481),"ПОРЯДОК ДАТ; ",""))</f>
        <v/>
      </c>
      <c r="N480" s="30" t="str">
        <f>IF(A480="","",IF(Настройки_2026!$B$6="ДЕМО",1,IF(I480="ДЕМО",0,1)))</f>
        <v/>
      </c>
    </row>
    <row r="481" spans="1:14" x14ac:dyDescent="0.25">
      <c r="A481" s="26"/>
      <c r="B481" s="27"/>
      <c r="C481" s="27"/>
      <c r="D481" s="27"/>
      <c r="E481" s="28"/>
      <c r="F481" s="27"/>
      <c r="G481" s="27"/>
      <c r="H481" s="29"/>
      <c r="I481" s="27"/>
      <c r="J481" s="27"/>
      <c r="K481" s="30" t="str">
        <f t="shared" si="7"/>
        <v/>
      </c>
      <c r="L481" s="31">
        <f>IF(B481&lt;&gt;"Расход",0,IF(H481&lt;&gt;"",E481*H481,IFERROR(IF(VLOOKUP(D481,Категории!$A$3:$F$27,4,FALSE)="",0,E481*VLOOKUP(D481,Категории!$A$3:$F$27,4,FALSE)),0)))</f>
        <v>0</v>
      </c>
      <c r="M481" s="30" t="str">
        <f>IF(A481="","",IF(NOT(ISNUMBER(A481)),"ДАТА; ","")&amp;IF(NOT(ISNUMBER(E481)),"СУММА; ","")&amp;IF(AND(B481&lt;&gt;"",D481&lt;&gt;"",IFERROR(VLOOKUP(D481,Категории!$A$3:$B$27,2,FALSE),"")&lt;&gt;B481),"ТИП/КАТЕГОРИЯ; ","")&amp;IF(AND(B481="Доход",G481=""),"НЕТ № КВИТАНЦИИ; ","")&amp;IF(AND(B481="Расход",H481="",IFERROR(VLOOKUP(D481,Категории!$A$3:$D$27,4,FALSE),"")=""),"УКАЖИТЕ ДОЛЮ; ","")&amp;IF(COUNTIFS($A$5:$A$504,A481,$B$5:$B$504,B481,$C$5:$C$504,C481,$E$5:$E$504,E481)&gt;1,"ВОЗМОЖНЫЙ ДУБЛЬ; ","")&amp;IF(AND(A481&lt;&gt;"",A482&lt;&gt;"",A481&lt;A482),"ПОРЯДОК ДАТ; ",""))</f>
        <v/>
      </c>
      <c r="N481" s="30" t="str">
        <f>IF(A481="","",IF(Настройки_2026!$B$6="ДЕМО",1,IF(I481="ДЕМО",0,1)))</f>
        <v/>
      </c>
    </row>
    <row r="482" spans="1:14" x14ac:dyDescent="0.25">
      <c r="A482" s="26"/>
      <c r="B482" s="27"/>
      <c r="C482" s="27"/>
      <c r="D482" s="27"/>
      <c r="E482" s="28"/>
      <c r="F482" s="27"/>
      <c r="G482" s="27"/>
      <c r="H482" s="29"/>
      <c r="I482" s="27"/>
      <c r="J482" s="27"/>
      <c r="K482" s="30" t="str">
        <f t="shared" si="7"/>
        <v/>
      </c>
      <c r="L482" s="31">
        <f>IF(B482&lt;&gt;"Расход",0,IF(H482&lt;&gt;"",E482*H482,IFERROR(IF(VLOOKUP(D482,Категории!$A$3:$F$27,4,FALSE)="",0,E482*VLOOKUP(D482,Категории!$A$3:$F$27,4,FALSE)),0)))</f>
        <v>0</v>
      </c>
      <c r="M482" s="30" t="str">
        <f>IF(A482="","",IF(NOT(ISNUMBER(A482)),"ДАТА; ","")&amp;IF(NOT(ISNUMBER(E482)),"СУММА; ","")&amp;IF(AND(B482&lt;&gt;"",D482&lt;&gt;"",IFERROR(VLOOKUP(D482,Категории!$A$3:$B$27,2,FALSE),"")&lt;&gt;B482),"ТИП/КАТЕГОРИЯ; ","")&amp;IF(AND(B482="Доход",G482=""),"НЕТ № КВИТАНЦИИ; ","")&amp;IF(AND(B482="Расход",H482="",IFERROR(VLOOKUP(D482,Категории!$A$3:$D$27,4,FALSE),"")=""),"УКАЖИТЕ ДОЛЮ; ","")&amp;IF(COUNTIFS($A$5:$A$504,A482,$B$5:$B$504,B482,$C$5:$C$504,C482,$E$5:$E$504,E482)&gt;1,"ВОЗМОЖНЫЙ ДУБЛЬ; ","")&amp;IF(AND(A482&lt;&gt;"",A483&lt;&gt;"",A482&lt;A483),"ПОРЯДОК ДАТ; ",""))</f>
        <v/>
      </c>
      <c r="N482" s="30" t="str">
        <f>IF(A482="","",IF(Настройки_2026!$B$6="ДЕМО",1,IF(I482="ДЕМО",0,1)))</f>
        <v/>
      </c>
    </row>
    <row r="483" spans="1:14" x14ac:dyDescent="0.25">
      <c r="A483" s="26"/>
      <c r="B483" s="27"/>
      <c r="C483" s="27"/>
      <c r="D483" s="27"/>
      <c r="E483" s="28"/>
      <c r="F483" s="27"/>
      <c r="G483" s="27"/>
      <c r="H483" s="29"/>
      <c r="I483" s="27"/>
      <c r="J483" s="27"/>
      <c r="K483" s="30" t="str">
        <f t="shared" si="7"/>
        <v/>
      </c>
      <c r="L483" s="31">
        <f>IF(B483&lt;&gt;"Расход",0,IF(H483&lt;&gt;"",E483*H483,IFERROR(IF(VLOOKUP(D483,Категории!$A$3:$F$27,4,FALSE)="",0,E483*VLOOKUP(D483,Категории!$A$3:$F$27,4,FALSE)),0)))</f>
        <v>0</v>
      </c>
      <c r="M483" s="30" t="str">
        <f>IF(A483="","",IF(NOT(ISNUMBER(A483)),"ДАТА; ","")&amp;IF(NOT(ISNUMBER(E483)),"СУММА; ","")&amp;IF(AND(B483&lt;&gt;"",D483&lt;&gt;"",IFERROR(VLOOKUP(D483,Категории!$A$3:$B$27,2,FALSE),"")&lt;&gt;B483),"ТИП/КАТЕГОРИЯ; ","")&amp;IF(AND(B483="Доход",G483=""),"НЕТ № КВИТАНЦИИ; ","")&amp;IF(AND(B483="Расход",H483="",IFERROR(VLOOKUP(D483,Категории!$A$3:$D$27,4,FALSE),"")=""),"УКАЖИТЕ ДОЛЮ; ","")&amp;IF(COUNTIFS($A$5:$A$504,A483,$B$5:$B$504,B483,$C$5:$C$504,C483,$E$5:$E$504,E483)&gt;1,"ВОЗМОЖНЫЙ ДУБЛЬ; ","")&amp;IF(AND(A483&lt;&gt;"",A484&lt;&gt;"",A483&lt;A484),"ПОРЯДОК ДАТ; ",""))</f>
        <v/>
      </c>
      <c r="N483" s="30" t="str">
        <f>IF(A483="","",IF(Настройки_2026!$B$6="ДЕМО",1,IF(I483="ДЕМО",0,1)))</f>
        <v/>
      </c>
    </row>
    <row r="484" spans="1:14" x14ac:dyDescent="0.25">
      <c r="A484" s="26"/>
      <c r="B484" s="27"/>
      <c r="C484" s="27"/>
      <c r="D484" s="27"/>
      <c r="E484" s="28"/>
      <c r="F484" s="27"/>
      <c r="G484" s="27"/>
      <c r="H484" s="29"/>
      <c r="I484" s="27"/>
      <c r="J484" s="27"/>
      <c r="K484" s="30" t="str">
        <f t="shared" si="7"/>
        <v/>
      </c>
      <c r="L484" s="31">
        <f>IF(B484&lt;&gt;"Расход",0,IF(H484&lt;&gt;"",E484*H484,IFERROR(IF(VLOOKUP(D484,Категории!$A$3:$F$27,4,FALSE)="",0,E484*VLOOKUP(D484,Категории!$A$3:$F$27,4,FALSE)),0)))</f>
        <v>0</v>
      </c>
      <c r="M484" s="30" t="str">
        <f>IF(A484="","",IF(NOT(ISNUMBER(A484)),"ДАТА; ","")&amp;IF(NOT(ISNUMBER(E484)),"СУММА; ","")&amp;IF(AND(B484&lt;&gt;"",D484&lt;&gt;"",IFERROR(VLOOKUP(D484,Категории!$A$3:$B$27,2,FALSE),"")&lt;&gt;B484),"ТИП/КАТЕГОРИЯ; ","")&amp;IF(AND(B484="Доход",G484=""),"НЕТ № КВИТАНЦИИ; ","")&amp;IF(AND(B484="Расход",H484="",IFERROR(VLOOKUP(D484,Категории!$A$3:$D$27,4,FALSE),"")=""),"УКАЖИТЕ ДОЛЮ; ","")&amp;IF(COUNTIFS($A$5:$A$504,A484,$B$5:$B$504,B484,$C$5:$C$504,C484,$E$5:$E$504,E484)&gt;1,"ВОЗМОЖНЫЙ ДУБЛЬ; ","")&amp;IF(AND(A484&lt;&gt;"",A485&lt;&gt;"",A484&lt;A485),"ПОРЯДОК ДАТ; ",""))</f>
        <v/>
      </c>
      <c r="N484" s="30" t="str">
        <f>IF(A484="","",IF(Настройки_2026!$B$6="ДЕМО",1,IF(I484="ДЕМО",0,1)))</f>
        <v/>
      </c>
    </row>
    <row r="485" spans="1:14" x14ac:dyDescent="0.25">
      <c r="A485" s="26"/>
      <c r="B485" s="27"/>
      <c r="C485" s="27"/>
      <c r="D485" s="27"/>
      <c r="E485" s="28"/>
      <c r="F485" s="27"/>
      <c r="G485" s="27"/>
      <c r="H485" s="29"/>
      <c r="I485" s="27"/>
      <c r="J485" s="27"/>
      <c r="K485" s="30" t="str">
        <f t="shared" si="7"/>
        <v/>
      </c>
      <c r="L485" s="31">
        <f>IF(B485&lt;&gt;"Расход",0,IF(H485&lt;&gt;"",E485*H485,IFERROR(IF(VLOOKUP(D485,Категории!$A$3:$F$27,4,FALSE)="",0,E485*VLOOKUP(D485,Категории!$A$3:$F$27,4,FALSE)),0)))</f>
        <v>0</v>
      </c>
      <c r="M485" s="30" t="str">
        <f>IF(A485="","",IF(NOT(ISNUMBER(A485)),"ДАТА; ","")&amp;IF(NOT(ISNUMBER(E485)),"СУММА; ","")&amp;IF(AND(B485&lt;&gt;"",D485&lt;&gt;"",IFERROR(VLOOKUP(D485,Категории!$A$3:$B$27,2,FALSE),"")&lt;&gt;B485),"ТИП/КАТЕГОРИЯ; ","")&amp;IF(AND(B485="Доход",G485=""),"НЕТ № КВИТАНЦИИ; ","")&amp;IF(AND(B485="Расход",H485="",IFERROR(VLOOKUP(D485,Категории!$A$3:$D$27,4,FALSE),"")=""),"УКАЖИТЕ ДОЛЮ; ","")&amp;IF(COUNTIFS($A$5:$A$504,A485,$B$5:$B$504,B485,$C$5:$C$504,C485,$E$5:$E$504,E485)&gt;1,"ВОЗМОЖНЫЙ ДУБЛЬ; ","")&amp;IF(AND(A485&lt;&gt;"",A486&lt;&gt;"",A485&lt;A486),"ПОРЯДОК ДАТ; ",""))</f>
        <v/>
      </c>
      <c r="N485" s="30" t="str">
        <f>IF(A485="","",IF(Настройки_2026!$B$6="ДЕМО",1,IF(I485="ДЕМО",0,1)))</f>
        <v/>
      </c>
    </row>
    <row r="486" spans="1:14" x14ac:dyDescent="0.25">
      <c r="A486" s="26"/>
      <c r="B486" s="27"/>
      <c r="C486" s="27"/>
      <c r="D486" s="27"/>
      <c r="E486" s="28"/>
      <c r="F486" s="27"/>
      <c r="G486" s="27"/>
      <c r="H486" s="29"/>
      <c r="I486" s="27"/>
      <c r="J486" s="27"/>
      <c r="K486" s="30" t="str">
        <f t="shared" si="7"/>
        <v/>
      </c>
      <c r="L486" s="31">
        <f>IF(B486&lt;&gt;"Расход",0,IF(H486&lt;&gt;"",E486*H486,IFERROR(IF(VLOOKUP(D486,Категории!$A$3:$F$27,4,FALSE)="",0,E486*VLOOKUP(D486,Категории!$A$3:$F$27,4,FALSE)),0)))</f>
        <v>0</v>
      </c>
      <c r="M486" s="30" t="str">
        <f>IF(A486="","",IF(NOT(ISNUMBER(A486)),"ДАТА; ","")&amp;IF(NOT(ISNUMBER(E486)),"СУММА; ","")&amp;IF(AND(B486&lt;&gt;"",D486&lt;&gt;"",IFERROR(VLOOKUP(D486,Категории!$A$3:$B$27,2,FALSE),"")&lt;&gt;B486),"ТИП/КАТЕГОРИЯ; ","")&amp;IF(AND(B486="Доход",G486=""),"НЕТ № КВИТАНЦИИ; ","")&amp;IF(AND(B486="Расход",H486="",IFERROR(VLOOKUP(D486,Категории!$A$3:$D$27,4,FALSE),"")=""),"УКАЖИТЕ ДОЛЮ; ","")&amp;IF(COUNTIFS($A$5:$A$504,A486,$B$5:$B$504,B486,$C$5:$C$504,C486,$E$5:$E$504,E486)&gt;1,"ВОЗМОЖНЫЙ ДУБЛЬ; ","")&amp;IF(AND(A486&lt;&gt;"",A487&lt;&gt;"",A486&lt;A487),"ПОРЯДОК ДАТ; ",""))</f>
        <v/>
      </c>
      <c r="N486" s="30" t="str">
        <f>IF(A486="","",IF(Настройки_2026!$B$6="ДЕМО",1,IF(I486="ДЕМО",0,1)))</f>
        <v/>
      </c>
    </row>
    <row r="487" spans="1:14" x14ac:dyDescent="0.25">
      <c r="A487" s="26"/>
      <c r="B487" s="27"/>
      <c r="C487" s="27"/>
      <c r="D487" s="27"/>
      <c r="E487" s="28"/>
      <c r="F487" s="27"/>
      <c r="G487" s="27"/>
      <c r="H487" s="29"/>
      <c r="I487" s="27"/>
      <c r="J487" s="27"/>
      <c r="K487" s="30" t="str">
        <f t="shared" si="7"/>
        <v/>
      </c>
      <c r="L487" s="31">
        <f>IF(B487&lt;&gt;"Расход",0,IF(H487&lt;&gt;"",E487*H487,IFERROR(IF(VLOOKUP(D487,Категории!$A$3:$F$27,4,FALSE)="",0,E487*VLOOKUP(D487,Категории!$A$3:$F$27,4,FALSE)),0)))</f>
        <v>0</v>
      </c>
      <c r="M487" s="30" t="str">
        <f>IF(A487="","",IF(NOT(ISNUMBER(A487)),"ДАТА; ","")&amp;IF(NOT(ISNUMBER(E487)),"СУММА; ","")&amp;IF(AND(B487&lt;&gt;"",D487&lt;&gt;"",IFERROR(VLOOKUP(D487,Категории!$A$3:$B$27,2,FALSE),"")&lt;&gt;B487),"ТИП/КАТЕГОРИЯ; ","")&amp;IF(AND(B487="Доход",G487=""),"НЕТ № КВИТАНЦИИ; ","")&amp;IF(AND(B487="Расход",H487="",IFERROR(VLOOKUP(D487,Категории!$A$3:$D$27,4,FALSE),"")=""),"УКАЖИТЕ ДОЛЮ; ","")&amp;IF(COUNTIFS($A$5:$A$504,A487,$B$5:$B$504,B487,$C$5:$C$504,C487,$E$5:$E$504,E487)&gt;1,"ВОЗМОЖНЫЙ ДУБЛЬ; ","")&amp;IF(AND(A487&lt;&gt;"",A488&lt;&gt;"",A487&lt;A488),"ПОРЯДОК ДАТ; ",""))</f>
        <v/>
      </c>
      <c r="N487" s="30" t="str">
        <f>IF(A487="","",IF(Настройки_2026!$B$6="ДЕМО",1,IF(I487="ДЕМО",0,1)))</f>
        <v/>
      </c>
    </row>
    <row r="488" spans="1:14" x14ac:dyDescent="0.25">
      <c r="A488" s="26"/>
      <c r="B488" s="27"/>
      <c r="C488" s="27"/>
      <c r="D488" s="27"/>
      <c r="E488" s="28"/>
      <c r="F488" s="27"/>
      <c r="G488" s="27"/>
      <c r="H488" s="29"/>
      <c r="I488" s="27"/>
      <c r="J488" s="27"/>
      <c r="K488" s="30" t="str">
        <f t="shared" si="7"/>
        <v/>
      </c>
      <c r="L488" s="31">
        <f>IF(B488&lt;&gt;"Расход",0,IF(H488&lt;&gt;"",E488*H488,IFERROR(IF(VLOOKUP(D488,Категории!$A$3:$F$27,4,FALSE)="",0,E488*VLOOKUP(D488,Категории!$A$3:$F$27,4,FALSE)),0)))</f>
        <v>0</v>
      </c>
      <c r="M488" s="30" t="str">
        <f>IF(A488="","",IF(NOT(ISNUMBER(A488)),"ДАТА; ","")&amp;IF(NOT(ISNUMBER(E488)),"СУММА; ","")&amp;IF(AND(B488&lt;&gt;"",D488&lt;&gt;"",IFERROR(VLOOKUP(D488,Категории!$A$3:$B$27,2,FALSE),"")&lt;&gt;B488),"ТИП/КАТЕГОРИЯ; ","")&amp;IF(AND(B488="Доход",G488=""),"НЕТ № КВИТАНЦИИ; ","")&amp;IF(AND(B488="Расход",H488="",IFERROR(VLOOKUP(D488,Категории!$A$3:$D$27,4,FALSE),"")=""),"УКАЖИТЕ ДОЛЮ; ","")&amp;IF(COUNTIFS($A$5:$A$504,A488,$B$5:$B$504,B488,$C$5:$C$504,C488,$E$5:$E$504,E488)&gt;1,"ВОЗМОЖНЫЙ ДУБЛЬ; ","")&amp;IF(AND(A488&lt;&gt;"",A489&lt;&gt;"",A488&lt;A489),"ПОРЯДОК ДАТ; ",""))</f>
        <v/>
      </c>
      <c r="N488" s="30" t="str">
        <f>IF(A488="","",IF(Настройки_2026!$B$6="ДЕМО",1,IF(I488="ДЕМО",0,1)))</f>
        <v/>
      </c>
    </row>
    <row r="489" spans="1:14" x14ac:dyDescent="0.25">
      <c r="A489" s="26"/>
      <c r="B489" s="27"/>
      <c r="C489" s="27"/>
      <c r="D489" s="27"/>
      <c r="E489" s="28"/>
      <c r="F489" s="27"/>
      <c r="G489" s="27"/>
      <c r="H489" s="29"/>
      <c r="I489" s="27"/>
      <c r="J489" s="27"/>
      <c r="K489" s="30" t="str">
        <f t="shared" si="7"/>
        <v/>
      </c>
      <c r="L489" s="31">
        <f>IF(B489&lt;&gt;"Расход",0,IF(H489&lt;&gt;"",E489*H489,IFERROR(IF(VLOOKUP(D489,Категории!$A$3:$F$27,4,FALSE)="",0,E489*VLOOKUP(D489,Категории!$A$3:$F$27,4,FALSE)),0)))</f>
        <v>0</v>
      </c>
      <c r="M489" s="30" t="str">
        <f>IF(A489="","",IF(NOT(ISNUMBER(A489)),"ДАТА; ","")&amp;IF(NOT(ISNUMBER(E489)),"СУММА; ","")&amp;IF(AND(B489&lt;&gt;"",D489&lt;&gt;"",IFERROR(VLOOKUP(D489,Категории!$A$3:$B$27,2,FALSE),"")&lt;&gt;B489),"ТИП/КАТЕГОРИЯ; ","")&amp;IF(AND(B489="Доход",G489=""),"НЕТ № КВИТАНЦИИ; ","")&amp;IF(AND(B489="Расход",H489="",IFERROR(VLOOKUP(D489,Категории!$A$3:$D$27,4,FALSE),"")=""),"УКАЖИТЕ ДОЛЮ; ","")&amp;IF(COUNTIFS($A$5:$A$504,A489,$B$5:$B$504,B489,$C$5:$C$504,C489,$E$5:$E$504,E489)&gt;1,"ВОЗМОЖНЫЙ ДУБЛЬ; ","")&amp;IF(AND(A489&lt;&gt;"",A490&lt;&gt;"",A489&lt;A490),"ПОРЯДОК ДАТ; ",""))</f>
        <v/>
      </c>
      <c r="N489" s="30" t="str">
        <f>IF(A489="","",IF(Настройки_2026!$B$6="ДЕМО",1,IF(I489="ДЕМО",0,1)))</f>
        <v/>
      </c>
    </row>
    <row r="490" spans="1:14" x14ac:dyDescent="0.25">
      <c r="A490" s="26"/>
      <c r="B490" s="27"/>
      <c r="C490" s="27"/>
      <c r="D490" s="27"/>
      <c r="E490" s="28"/>
      <c r="F490" s="27"/>
      <c r="G490" s="27"/>
      <c r="H490" s="29"/>
      <c r="I490" s="27"/>
      <c r="J490" s="27"/>
      <c r="K490" s="30" t="str">
        <f t="shared" si="7"/>
        <v/>
      </c>
      <c r="L490" s="31">
        <f>IF(B490&lt;&gt;"Расход",0,IF(H490&lt;&gt;"",E490*H490,IFERROR(IF(VLOOKUP(D490,Категории!$A$3:$F$27,4,FALSE)="",0,E490*VLOOKUP(D490,Категории!$A$3:$F$27,4,FALSE)),0)))</f>
        <v>0</v>
      </c>
      <c r="M490" s="30" t="str">
        <f>IF(A490="","",IF(NOT(ISNUMBER(A490)),"ДАТА; ","")&amp;IF(NOT(ISNUMBER(E490)),"СУММА; ","")&amp;IF(AND(B490&lt;&gt;"",D490&lt;&gt;"",IFERROR(VLOOKUP(D490,Категории!$A$3:$B$27,2,FALSE),"")&lt;&gt;B490),"ТИП/КАТЕГОРИЯ; ","")&amp;IF(AND(B490="Доход",G490=""),"НЕТ № КВИТАНЦИИ; ","")&amp;IF(AND(B490="Расход",H490="",IFERROR(VLOOKUP(D490,Категории!$A$3:$D$27,4,FALSE),"")=""),"УКАЖИТЕ ДОЛЮ; ","")&amp;IF(COUNTIFS($A$5:$A$504,A490,$B$5:$B$504,B490,$C$5:$C$504,C490,$E$5:$E$504,E490)&gt;1,"ВОЗМОЖНЫЙ ДУБЛЬ; ","")&amp;IF(AND(A490&lt;&gt;"",A491&lt;&gt;"",A490&lt;A491),"ПОРЯДОК ДАТ; ",""))</f>
        <v/>
      </c>
      <c r="N490" s="30" t="str">
        <f>IF(A490="","",IF(Настройки_2026!$B$6="ДЕМО",1,IF(I490="ДЕМО",0,1)))</f>
        <v/>
      </c>
    </row>
    <row r="491" spans="1:14" x14ac:dyDescent="0.25">
      <c r="A491" s="26"/>
      <c r="B491" s="27"/>
      <c r="C491" s="27"/>
      <c r="D491" s="27"/>
      <c r="E491" s="28"/>
      <c r="F491" s="27"/>
      <c r="G491" s="27"/>
      <c r="H491" s="29"/>
      <c r="I491" s="27"/>
      <c r="J491" s="27"/>
      <c r="K491" s="30" t="str">
        <f t="shared" si="7"/>
        <v/>
      </c>
      <c r="L491" s="31">
        <f>IF(B491&lt;&gt;"Расход",0,IF(H491&lt;&gt;"",E491*H491,IFERROR(IF(VLOOKUP(D491,Категории!$A$3:$F$27,4,FALSE)="",0,E491*VLOOKUP(D491,Категории!$A$3:$F$27,4,FALSE)),0)))</f>
        <v>0</v>
      </c>
      <c r="M491" s="30" t="str">
        <f>IF(A491="","",IF(NOT(ISNUMBER(A491)),"ДАТА; ","")&amp;IF(NOT(ISNUMBER(E491)),"СУММА; ","")&amp;IF(AND(B491&lt;&gt;"",D491&lt;&gt;"",IFERROR(VLOOKUP(D491,Категории!$A$3:$B$27,2,FALSE),"")&lt;&gt;B491),"ТИП/КАТЕГОРИЯ; ","")&amp;IF(AND(B491="Доход",G491=""),"НЕТ № КВИТАНЦИИ; ","")&amp;IF(AND(B491="Расход",H491="",IFERROR(VLOOKUP(D491,Категории!$A$3:$D$27,4,FALSE),"")=""),"УКАЖИТЕ ДОЛЮ; ","")&amp;IF(COUNTIFS($A$5:$A$504,A491,$B$5:$B$504,B491,$C$5:$C$504,C491,$E$5:$E$504,E491)&gt;1,"ВОЗМОЖНЫЙ ДУБЛЬ; ","")&amp;IF(AND(A491&lt;&gt;"",A492&lt;&gt;"",A491&lt;A492),"ПОРЯДОК ДАТ; ",""))</f>
        <v/>
      </c>
      <c r="N491" s="30" t="str">
        <f>IF(A491="","",IF(Настройки_2026!$B$6="ДЕМО",1,IF(I491="ДЕМО",0,1)))</f>
        <v/>
      </c>
    </row>
    <row r="492" spans="1:14" x14ac:dyDescent="0.25">
      <c r="A492" s="26"/>
      <c r="B492" s="27"/>
      <c r="C492" s="27"/>
      <c r="D492" s="27"/>
      <c r="E492" s="28"/>
      <c r="F492" s="27"/>
      <c r="G492" s="27"/>
      <c r="H492" s="29"/>
      <c r="I492" s="27"/>
      <c r="J492" s="27"/>
      <c r="K492" s="30" t="str">
        <f t="shared" si="7"/>
        <v/>
      </c>
      <c r="L492" s="31">
        <f>IF(B492&lt;&gt;"Расход",0,IF(H492&lt;&gt;"",E492*H492,IFERROR(IF(VLOOKUP(D492,Категории!$A$3:$F$27,4,FALSE)="",0,E492*VLOOKUP(D492,Категории!$A$3:$F$27,4,FALSE)),0)))</f>
        <v>0</v>
      </c>
      <c r="M492" s="30" t="str">
        <f>IF(A492="","",IF(NOT(ISNUMBER(A492)),"ДАТА; ","")&amp;IF(NOT(ISNUMBER(E492)),"СУММА; ","")&amp;IF(AND(B492&lt;&gt;"",D492&lt;&gt;"",IFERROR(VLOOKUP(D492,Категории!$A$3:$B$27,2,FALSE),"")&lt;&gt;B492),"ТИП/КАТЕГОРИЯ; ","")&amp;IF(AND(B492="Доход",G492=""),"НЕТ № КВИТАНЦИИ; ","")&amp;IF(AND(B492="Расход",H492="",IFERROR(VLOOKUP(D492,Категории!$A$3:$D$27,4,FALSE),"")=""),"УКАЖИТЕ ДОЛЮ; ","")&amp;IF(COUNTIFS($A$5:$A$504,A492,$B$5:$B$504,B492,$C$5:$C$504,C492,$E$5:$E$504,E492)&gt;1,"ВОЗМОЖНЫЙ ДУБЛЬ; ","")&amp;IF(AND(A492&lt;&gt;"",A493&lt;&gt;"",A492&lt;A493),"ПОРЯДОК ДАТ; ",""))</f>
        <v/>
      </c>
      <c r="N492" s="30" t="str">
        <f>IF(A492="","",IF(Настройки_2026!$B$6="ДЕМО",1,IF(I492="ДЕМО",0,1)))</f>
        <v/>
      </c>
    </row>
    <row r="493" spans="1:14" x14ac:dyDescent="0.25">
      <c r="A493" s="26"/>
      <c r="B493" s="27"/>
      <c r="C493" s="27"/>
      <c r="D493" s="27"/>
      <c r="E493" s="28"/>
      <c r="F493" s="27"/>
      <c r="G493" s="27"/>
      <c r="H493" s="29"/>
      <c r="I493" s="27"/>
      <c r="J493" s="27"/>
      <c r="K493" s="30" t="str">
        <f t="shared" si="7"/>
        <v/>
      </c>
      <c r="L493" s="31">
        <f>IF(B493&lt;&gt;"Расход",0,IF(H493&lt;&gt;"",E493*H493,IFERROR(IF(VLOOKUP(D493,Категории!$A$3:$F$27,4,FALSE)="",0,E493*VLOOKUP(D493,Категории!$A$3:$F$27,4,FALSE)),0)))</f>
        <v>0</v>
      </c>
      <c r="M493" s="30" t="str">
        <f>IF(A493="","",IF(NOT(ISNUMBER(A493)),"ДАТА; ","")&amp;IF(NOT(ISNUMBER(E493)),"СУММА; ","")&amp;IF(AND(B493&lt;&gt;"",D493&lt;&gt;"",IFERROR(VLOOKUP(D493,Категории!$A$3:$B$27,2,FALSE),"")&lt;&gt;B493),"ТИП/КАТЕГОРИЯ; ","")&amp;IF(AND(B493="Доход",G493=""),"НЕТ № КВИТАНЦИИ; ","")&amp;IF(AND(B493="Расход",H493="",IFERROR(VLOOKUP(D493,Категории!$A$3:$D$27,4,FALSE),"")=""),"УКАЖИТЕ ДОЛЮ; ","")&amp;IF(COUNTIFS($A$5:$A$504,A493,$B$5:$B$504,B493,$C$5:$C$504,C493,$E$5:$E$504,E493)&gt;1,"ВОЗМОЖНЫЙ ДУБЛЬ; ","")&amp;IF(AND(A493&lt;&gt;"",A494&lt;&gt;"",A493&lt;A494),"ПОРЯДОК ДАТ; ",""))</f>
        <v/>
      </c>
      <c r="N493" s="30" t="str">
        <f>IF(A493="","",IF(Настройки_2026!$B$6="ДЕМО",1,IF(I493="ДЕМО",0,1)))</f>
        <v/>
      </c>
    </row>
    <row r="494" spans="1:14" x14ac:dyDescent="0.25">
      <c r="A494" s="26"/>
      <c r="B494" s="27"/>
      <c r="C494" s="27"/>
      <c r="D494" s="27"/>
      <c r="E494" s="28"/>
      <c r="F494" s="27"/>
      <c r="G494" s="27"/>
      <c r="H494" s="29"/>
      <c r="I494" s="27"/>
      <c r="J494" s="27"/>
      <c r="K494" s="30" t="str">
        <f t="shared" si="7"/>
        <v/>
      </c>
      <c r="L494" s="31">
        <f>IF(B494&lt;&gt;"Расход",0,IF(H494&lt;&gt;"",E494*H494,IFERROR(IF(VLOOKUP(D494,Категории!$A$3:$F$27,4,FALSE)="",0,E494*VLOOKUP(D494,Категории!$A$3:$F$27,4,FALSE)),0)))</f>
        <v>0</v>
      </c>
      <c r="M494" s="30" t="str">
        <f>IF(A494="","",IF(NOT(ISNUMBER(A494)),"ДАТА; ","")&amp;IF(NOT(ISNUMBER(E494)),"СУММА; ","")&amp;IF(AND(B494&lt;&gt;"",D494&lt;&gt;"",IFERROR(VLOOKUP(D494,Категории!$A$3:$B$27,2,FALSE),"")&lt;&gt;B494),"ТИП/КАТЕГОРИЯ; ","")&amp;IF(AND(B494="Доход",G494=""),"НЕТ № КВИТАНЦИИ; ","")&amp;IF(AND(B494="Расход",H494="",IFERROR(VLOOKUP(D494,Категории!$A$3:$D$27,4,FALSE),"")=""),"УКАЖИТЕ ДОЛЮ; ","")&amp;IF(COUNTIFS($A$5:$A$504,A494,$B$5:$B$504,B494,$C$5:$C$504,C494,$E$5:$E$504,E494)&gt;1,"ВОЗМОЖНЫЙ ДУБЛЬ; ","")&amp;IF(AND(A494&lt;&gt;"",A495&lt;&gt;"",A494&lt;A495),"ПОРЯДОК ДАТ; ",""))</f>
        <v/>
      </c>
      <c r="N494" s="30" t="str">
        <f>IF(A494="","",IF(Настройки_2026!$B$6="ДЕМО",1,IF(I494="ДЕМО",0,1)))</f>
        <v/>
      </c>
    </row>
    <row r="495" spans="1:14" x14ac:dyDescent="0.25">
      <c r="A495" s="26"/>
      <c r="B495" s="27"/>
      <c r="C495" s="27"/>
      <c r="D495" s="27"/>
      <c r="E495" s="28"/>
      <c r="F495" s="27"/>
      <c r="G495" s="27"/>
      <c r="H495" s="29"/>
      <c r="I495" s="27"/>
      <c r="J495" s="27"/>
      <c r="K495" s="30" t="str">
        <f t="shared" si="7"/>
        <v/>
      </c>
      <c r="L495" s="31">
        <f>IF(B495&lt;&gt;"Расход",0,IF(H495&lt;&gt;"",E495*H495,IFERROR(IF(VLOOKUP(D495,Категории!$A$3:$F$27,4,FALSE)="",0,E495*VLOOKUP(D495,Категории!$A$3:$F$27,4,FALSE)),0)))</f>
        <v>0</v>
      </c>
      <c r="M495" s="30" t="str">
        <f>IF(A495="","",IF(NOT(ISNUMBER(A495)),"ДАТА; ","")&amp;IF(NOT(ISNUMBER(E495)),"СУММА; ","")&amp;IF(AND(B495&lt;&gt;"",D495&lt;&gt;"",IFERROR(VLOOKUP(D495,Категории!$A$3:$B$27,2,FALSE),"")&lt;&gt;B495),"ТИП/КАТЕГОРИЯ; ","")&amp;IF(AND(B495="Доход",G495=""),"НЕТ № КВИТАНЦИИ; ","")&amp;IF(AND(B495="Расход",H495="",IFERROR(VLOOKUP(D495,Категории!$A$3:$D$27,4,FALSE),"")=""),"УКАЖИТЕ ДОЛЮ; ","")&amp;IF(COUNTIFS($A$5:$A$504,A495,$B$5:$B$504,B495,$C$5:$C$504,C495,$E$5:$E$504,E495)&gt;1,"ВОЗМОЖНЫЙ ДУБЛЬ; ","")&amp;IF(AND(A495&lt;&gt;"",A496&lt;&gt;"",A495&lt;A496),"ПОРЯДОК ДАТ; ",""))</f>
        <v/>
      </c>
      <c r="N495" s="30" t="str">
        <f>IF(A495="","",IF(Настройки_2026!$B$6="ДЕМО",1,IF(I495="ДЕМО",0,1)))</f>
        <v/>
      </c>
    </row>
    <row r="496" spans="1:14" x14ac:dyDescent="0.25">
      <c r="A496" s="26"/>
      <c r="B496" s="27"/>
      <c r="C496" s="27"/>
      <c r="D496" s="27"/>
      <c r="E496" s="28"/>
      <c r="F496" s="27"/>
      <c r="G496" s="27"/>
      <c r="H496" s="29"/>
      <c r="I496" s="27"/>
      <c r="J496" s="27"/>
      <c r="K496" s="30" t="str">
        <f t="shared" si="7"/>
        <v/>
      </c>
      <c r="L496" s="31">
        <f>IF(B496&lt;&gt;"Расход",0,IF(H496&lt;&gt;"",E496*H496,IFERROR(IF(VLOOKUP(D496,Категории!$A$3:$F$27,4,FALSE)="",0,E496*VLOOKUP(D496,Категории!$A$3:$F$27,4,FALSE)),0)))</f>
        <v>0</v>
      </c>
      <c r="M496" s="30" t="str">
        <f>IF(A496="","",IF(NOT(ISNUMBER(A496)),"ДАТА; ","")&amp;IF(NOT(ISNUMBER(E496)),"СУММА; ","")&amp;IF(AND(B496&lt;&gt;"",D496&lt;&gt;"",IFERROR(VLOOKUP(D496,Категории!$A$3:$B$27,2,FALSE),"")&lt;&gt;B496),"ТИП/КАТЕГОРИЯ; ","")&amp;IF(AND(B496="Доход",G496=""),"НЕТ № КВИТАНЦИИ; ","")&amp;IF(AND(B496="Расход",H496="",IFERROR(VLOOKUP(D496,Категории!$A$3:$D$27,4,FALSE),"")=""),"УКАЖИТЕ ДОЛЮ; ","")&amp;IF(COUNTIFS($A$5:$A$504,A496,$B$5:$B$504,B496,$C$5:$C$504,C496,$E$5:$E$504,E496)&gt;1,"ВОЗМОЖНЫЙ ДУБЛЬ; ","")&amp;IF(AND(A496&lt;&gt;"",A497&lt;&gt;"",A496&lt;A497),"ПОРЯДОК ДАТ; ",""))</f>
        <v/>
      </c>
      <c r="N496" s="30" t="str">
        <f>IF(A496="","",IF(Настройки_2026!$B$6="ДЕМО",1,IF(I496="ДЕМО",0,1)))</f>
        <v/>
      </c>
    </row>
    <row r="497" spans="1:14" x14ac:dyDescent="0.25">
      <c r="A497" s="26"/>
      <c r="B497" s="27"/>
      <c r="C497" s="27"/>
      <c r="D497" s="27"/>
      <c r="E497" s="28"/>
      <c r="F497" s="27"/>
      <c r="G497" s="27"/>
      <c r="H497" s="29"/>
      <c r="I497" s="27"/>
      <c r="J497" s="27"/>
      <c r="K497" s="30" t="str">
        <f t="shared" si="7"/>
        <v/>
      </c>
      <c r="L497" s="31">
        <f>IF(B497&lt;&gt;"Расход",0,IF(H497&lt;&gt;"",E497*H497,IFERROR(IF(VLOOKUP(D497,Категории!$A$3:$F$27,4,FALSE)="",0,E497*VLOOKUP(D497,Категории!$A$3:$F$27,4,FALSE)),0)))</f>
        <v>0</v>
      </c>
      <c r="M497" s="30" t="str">
        <f>IF(A497="","",IF(NOT(ISNUMBER(A497)),"ДАТА; ","")&amp;IF(NOT(ISNUMBER(E497)),"СУММА; ","")&amp;IF(AND(B497&lt;&gt;"",D497&lt;&gt;"",IFERROR(VLOOKUP(D497,Категории!$A$3:$B$27,2,FALSE),"")&lt;&gt;B497),"ТИП/КАТЕГОРИЯ; ","")&amp;IF(AND(B497="Доход",G497=""),"НЕТ № КВИТАНЦИИ; ","")&amp;IF(AND(B497="Расход",H497="",IFERROR(VLOOKUP(D497,Категории!$A$3:$D$27,4,FALSE),"")=""),"УКАЖИТЕ ДОЛЮ; ","")&amp;IF(COUNTIFS($A$5:$A$504,A497,$B$5:$B$504,B497,$C$5:$C$504,C497,$E$5:$E$504,E497)&gt;1,"ВОЗМОЖНЫЙ ДУБЛЬ; ","")&amp;IF(AND(A497&lt;&gt;"",A498&lt;&gt;"",A497&lt;A498),"ПОРЯДОК ДАТ; ",""))</f>
        <v/>
      </c>
      <c r="N497" s="30" t="str">
        <f>IF(A497="","",IF(Настройки_2026!$B$6="ДЕМО",1,IF(I497="ДЕМО",0,1)))</f>
        <v/>
      </c>
    </row>
    <row r="498" spans="1:14" x14ac:dyDescent="0.25">
      <c r="A498" s="26"/>
      <c r="B498" s="27"/>
      <c r="C498" s="27"/>
      <c r="D498" s="27"/>
      <c r="E498" s="28"/>
      <c r="F498" s="27"/>
      <c r="G498" s="27"/>
      <c r="H498" s="29"/>
      <c r="I498" s="27"/>
      <c r="J498" s="27"/>
      <c r="K498" s="30" t="str">
        <f t="shared" si="7"/>
        <v/>
      </c>
      <c r="L498" s="31">
        <f>IF(B498&lt;&gt;"Расход",0,IF(H498&lt;&gt;"",E498*H498,IFERROR(IF(VLOOKUP(D498,Категории!$A$3:$F$27,4,FALSE)="",0,E498*VLOOKUP(D498,Категории!$A$3:$F$27,4,FALSE)),0)))</f>
        <v>0</v>
      </c>
      <c r="M498" s="30" t="str">
        <f>IF(A498="","",IF(NOT(ISNUMBER(A498)),"ДАТА; ","")&amp;IF(NOT(ISNUMBER(E498)),"СУММА; ","")&amp;IF(AND(B498&lt;&gt;"",D498&lt;&gt;"",IFERROR(VLOOKUP(D498,Категории!$A$3:$B$27,2,FALSE),"")&lt;&gt;B498),"ТИП/КАТЕГОРИЯ; ","")&amp;IF(AND(B498="Доход",G498=""),"НЕТ № КВИТАНЦИИ; ","")&amp;IF(AND(B498="Расход",H498="",IFERROR(VLOOKUP(D498,Категории!$A$3:$D$27,4,FALSE),"")=""),"УКАЖИТЕ ДОЛЮ; ","")&amp;IF(COUNTIFS($A$5:$A$504,A498,$B$5:$B$504,B498,$C$5:$C$504,C498,$E$5:$E$504,E498)&gt;1,"ВОЗМОЖНЫЙ ДУБЛЬ; ","")&amp;IF(AND(A498&lt;&gt;"",A499&lt;&gt;"",A498&lt;A499),"ПОРЯДОК ДАТ; ",""))</f>
        <v/>
      </c>
      <c r="N498" s="30" t="str">
        <f>IF(A498="","",IF(Настройки_2026!$B$6="ДЕМО",1,IF(I498="ДЕМО",0,1)))</f>
        <v/>
      </c>
    </row>
    <row r="499" spans="1:14" x14ac:dyDescent="0.25">
      <c r="A499" s="26"/>
      <c r="B499" s="27"/>
      <c r="C499" s="27"/>
      <c r="D499" s="27"/>
      <c r="E499" s="28"/>
      <c r="F499" s="27"/>
      <c r="G499" s="27"/>
      <c r="H499" s="29"/>
      <c r="I499" s="27"/>
      <c r="J499" s="27"/>
      <c r="K499" s="30" t="str">
        <f t="shared" si="7"/>
        <v/>
      </c>
      <c r="L499" s="31">
        <f>IF(B499&lt;&gt;"Расход",0,IF(H499&lt;&gt;"",E499*H499,IFERROR(IF(VLOOKUP(D499,Категории!$A$3:$F$27,4,FALSE)="",0,E499*VLOOKUP(D499,Категории!$A$3:$F$27,4,FALSE)),0)))</f>
        <v>0</v>
      </c>
      <c r="M499" s="30" t="str">
        <f>IF(A499="","",IF(NOT(ISNUMBER(A499)),"ДАТА; ","")&amp;IF(NOT(ISNUMBER(E499)),"СУММА; ","")&amp;IF(AND(B499&lt;&gt;"",D499&lt;&gt;"",IFERROR(VLOOKUP(D499,Категории!$A$3:$B$27,2,FALSE),"")&lt;&gt;B499),"ТИП/КАТЕГОРИЯ; ","")&amp;IF(AND(B499="Доход",G499=""),"НЕТ № КВИТАНЦИИ; ","")&amp;IF(AND(B499="Расход",H499="",IFERROR(VLOOKUP(D499,Категории!$A$3:$D$27,4,FALSE),"")=""),"УКАЖИТЕ ДОЛЮ; ","")&amp;IF(COUNTIFS($A$5:$A$504,A499,$B$5:$B$504,B499,$C$5:$C$504,C499,$E$5:$E$504,E499)&gt;1,"ВОЗМОЖНЫЙ ДУБЛЬ; ","")&amp;IF(AND(A499&lt;&gt;"",A500&lt;&gt;"",A499&lt;A500),"ПОРЯДОК ДАТ; ",""))</f>
        <v/>
      </c>
      <c r="N499" s="30" t="str">
        <f>IF(A499="","",IF(Настройки_2026!$B$6="ДЕМО",1,IF(I499="ДЕМО",0,1)))</f>
        <v/>
      </c>
    </row>
    <row r="500" spans="1:14" x14ac:dyDescent="0.25">
      <c r="A500" s="26"/>
      <c r="B500" s="27"/>
      <c r="C500" s="27"/>
      <c r="D500" s="27"/>
      <c r="E500" s="28"/>
      <c r="F500" s="27"/>
      <c r="G500" s="27"/>
      <c r="H500" s="29"/>
      <c r="I500" s="27"/>
      <c r="J500" s="27"/>
      <c r="K500" s="30" t="str">
        <f t="shared" si="7"/>
        <v/>
      </c>
      <c r="L500" s="31">
        <f>IF(B500&lt;&gt;"Расход",0,IF(H500&lt;&gt;"",E500*H500,IFERROR(IF(VLOOKUP(D500,Категории!$A$3:$F$27,4,FALSE)="",0,E500*VLOOKUP(D500,Категории!$A$3:$F$27,4,FALSE)),0)))</f>
        <v>0</v>
      </c>
      <c r="M500" s="30" t="str">
        <f>IF(A500="","",IF(NOT(ISNUMBER(A500)),"ДАТА; ","")&amp;IF(NOT(ISNUMBER(E500)),"СУММА; ","")&amp;IF(AND(B500&lt;&gt;"",D500&lt;&gt;"",IFERROR(VLOOKUP(D500,Категории!$A$3:$B$27,2,FALSE),"")&lt;&gt;B500),"ТИП/КАТЕГОРИЯ; ","")&amp;IF(AND(B500="Доход",G500=""),"НЕТ № КВИТАНЦИИ; ","")&amp;IF(AND(B500="Расход",H500="",IFERROR(VLOOKUP(D500,Категории!$A$3:$D$27,4,FALSE),"")=""),"УКАЖИТЕ ДОЛЮ; ","")&amp;IF(COUNTIFS($A$5:$A$504,A500,$B$5:$B$504,B500,$C$5:$C$504,C500,$E$5:$E$504,E500)&gt;1,"ВОЗМОЖНЫЙ ДУБЛЬ; ","")&amp;IF(AND(A500&lt;&gt;"",A501&lt;&gt;"",A500&lt;A501),"ПОРЯДОК ДАТ; ",""))</f>
        <v/>
      </c>
      <c r="N500" s="30" t="str">
        <f>IF(A500="","",IF(Настройки_2026!$B$6="ДЕМО",1,IF(I500="ДЕМО",0,1)))</f>
        <v/>
      </c>
    </row>
    <row r="501" spans="1:14" x14ac:dyDescent="0.25">
      <c r="A501" s="26"/>
      <c r="B501" s="27"/>
      <c r="C501" s="27"/>
      <c r="D501" s="27"/>
      <c r="E501" s="28"/>
      <c r="F501" s="27"/>
      <c r="G501" s="27"/>
      <c r="H501" s="29"/>
      <c r="I501" s="27"/>
      <c r="J501" s="27"/>
      <c r="K501" s="30" t="str">
        <f t="shared" si="7"/>
        <v/>
      </c>
      <c r="L501" s="31">
        <f>IF(B501&lt;&gt;"Расход",0,IF(H501&lt;&gt;"",E501*H501,IFERROR(IF(VLOOKUP(D501,Категории!$A$3:$F$27,4,FALSE)="",0,E501*VLOOKUP(D501,Категории!$A$3:$F$27,4,FALSE)),0)))</f>
        <v>0</v>
      </c>
      <c r="M501" s="30" t="str">
        <f>IF(A501="","",IF(NOT(ISNUMBER(A501)),"ДАТА; ","")&amp;IF(NOT(ISNUMBER(E501)),"СУММА; ","")&amp;IF(AND(B501&lt;&gt;"",D501&lt;&gt;"",IFERROR(VLOOKUP(D501,Категории!$A$3:$B$27,2,FALSE),"")&lt;&gt;B501),"ТИП/КАТЕГОРИЯ; ","")&amp;IF(AND(B501="Доход",G501=""),"НЕТ № КВИТАНЦИИ; ","")&amp;IF(AND(B501="Расход",H501="",IFERROR(VLOOKUP(D501,Категории!$A$3:$D$27,4,FALSE),"")=""),"УКАЖИТЕ ДОЛЮ; ","")&amp;IF(COUNTIFS($A$5:$A$504,A501,$B$5:$B$504,B501,$C$5:$C$504,C501,$E$5:$E$504,E501)&gt;1,"ВОЗМОЖНЫЙ ДУБЛЬ; ","")&amp;IF(AND(A501&lt;&gt;"",A502&lt;&gt;"",A501&lt;A502),"ПОРЯДОК ДАТ; ",""))</f>
        <v/>
      </c>
      <c r="N501" s="30" t="str">
        <f>IF(A501="","",IF(Настройки_2026!$B$6="ДЕМО",1,IF(I501="ДЕМО",0,1)))</f>
        <v/>
      </c>
    </row>
    <row r="502" spans="1:14" x14ac:dyDescent="0.25">
      <c r="A502" s="26"/>
      <c r="B502" s="27"/>
      <c r="C502" s="27"/>
      <c r="D502" s="27"/>
      <c r="E502" s="28"/>
      <c r="F502" s="27"/>
      <c r="G502" s="27"/>
      <c r="H502" s="29"/>
      <c r="I502" s="27"/>
      <c r="J502" s="27"/>
      <c r="K502" s="30" t="str">
        <f t="shared" si="7"/>
        <v/>
      </c>
      <c r="L502" s="31">
        <f>IF(B502&lt;&gt;"Расход",0,IF(H502&lt;&gt;"",E502*H502,IFERROR(IF(VLOOKUP(D502,Категории!$A$3:$F$27,4,FALSE)="",0,E502*VLOOKUP(D502,Категории!$A$3:$F$27,4,FALSE)),0)))</f>
        <v>0</v>
      </c>
      <c r="M502" s="30" t="str">
        <f>IF(A502="","",IF(NOT(ISNUMBER(A502)),"ДАТА; ","")&amp;IF(NOT(ISNUMBER(E502)),"СУММА; ","")&amp;IF(AND(B502&lt;&gt;"",D502&lt;&gt;"",IFERROR(VLOOKUP(D502,Категории!$A$3:$B$27,2,FALSE),"")&lt;&gt;B502),"ТИП/КАТЕГОРИЯ; ","")&amp;IF(AND(B502="Доход",G502=""),"НЕТ № КВИТАНЦИИ; ","")&amp;IF(AND(B502="Расход",H502="",IFERROR(VLOOKUP(D502,Категории!$A$3:$D$27,4,FALSE),"")=""),"УКАЖИТЕ ДОЛЮ; ","")&amp;IF(COUNTIFS($A$5:$A$504,A502,$B$5:$B$504,B502,$C$5:$C$504,C502,$E$5:$E$504,E502)&gt;1,"ВОЗМОЖНЫЙ ДУБЛЬ; ","")&amp;IF(AND(A502&lt;&gt;"",A503&lt;&gt;"",A502&lt;A503),"ПОРЯДОК ДАТ; ",""))</f>
        <v/>
      </c>
      <c r="N502" s="30" t="str">
        <f>IF(A502="","",IF(Настройки_2026!$B$6="ДЕМО",1,IF(I502="ДЕМО",0,1)))</f>
        <v/>
      </c>
    </row>
    <row r="503" spans="1:14" x14ac:dyDescent="0.25">
      <c r="A503" s="26"/>
      <c r="B503" s="27"/>
      <c r="C503" s="27"/>
      <c r="D503" s="27"/>
      <c r="E503" s="28"/>
      <c r="F503" s="27"/>
      <c r="G503" s="27"/>
      <c r="H503" s="29"/>
      <c r="I503" s="27"/>
      <c r="J503" s="27"/>
      <c r="K503" s="30" t="str">
        <f t="shared" si="7"/>
        <v/>
      </c>
      <c r="L503" s="31">
        <f>IF(B503&lt;&gt;"Расход",0,IF(H503&lt;&gt;"",E503*H503,IFERROR(IF(VLOOKUP(D503,Категории!$A$3:$F$27,4,FALSE)="",0,E503*VLOOKUP(D503,Категории!$A$3:$F$27,4,FALSE)),0)))</f>
        <v>0</v>
      </c>
      <c r="M503" s="30" t="str">
        <f>IF(A503="","",IF(NOT(ISNUMBER(A503)),"ДАТА; ","")&amp;IF(NOT(ISNUMBER(E503)),"СУММА; ","")&amp;IF(AND(B503&lt;&gt;"",D503&lt;&gt;"",IFERROR(VLOOKUP(D503,Категории!$A$3:$B$27,2,FALSE),"")&lt;&gt;B503),"ТИП/КАТЕГОРИЯ; ","")&amp;IF(AND(B503="Доход",G503=""),"НЕТ № КВИТАНЦИИ; ","")&amp;IF(AND(B503="Расход",H503="",IFERROR(VLOOKUP(D503,Категории!$A$3:$D$27,4,FALSE),"")=""),"УКАЖИТЕ ДОЛЮ; ","")&amp;IF(COUNTIFS($A$5:$A$504,A503,$B$5:$B$504,B503,$C$5:$C$504,C503,$E$5:$E$504,E503)&gt;1,"ВОЗМОЖНЫЙ ДУБЛЬ; ","")&amp;IF(AND(A503&lt;&gt;"",A504&lt;&gt;"",A503&lt;A504),"ПОРЯДОК ДАТ; ",""))</f>
        <v/>
      </c>
      <c r="N503" s="30" t="str">
        <f>IF(A503="","",IF(Настройки_2026!$B$6="ДЕМО",1,IF(I503="ДЕМО",0,1)))</f>
        <v/>
      </c>
    </row>
    <row r="504" spans="1:14" x14ac:dyDescent="0.25">
      <c r="A504" s="26"/>
      <c r="B504" s="27"/>
      <c r="C504" s="27"/>
      <c r="D504" s="27"/>
      <c r="E504" s="28"/>
      <c r="F504" s="27"/>
      <c r="G504" s="27"/>
      <c r="H504" s="29"/>
      <c r="I504" s="27"/>
      <c r="J504" s="27"/>
      <c r="K504" s="30" t="str">
        <f t="shared" si="7"/>
        <v/>
      </c>
      <c r="L504" s="31">
        <f>IF(B504&lt;&gt;"Расход",0,IF(H504&lt;&gt;"",E504*H504,IFERROR(IF(VLOOKUP(D504,Категории!$A$3:$F$27,4,FALSE)="",0,E504*VLOOKUP(D504,Категории!$A$3:$F$27,4,FALSE)),0)))</f>
        <v>0</v>
      </c>
      <c r="M504" s="30" t="str">
        <f>IF(A504="","",IF(NOT(ISNUMBER(A504)),"ДАТА; ","")&amp;IF(NOT(ISNUMBER(E504)),"СУММА; ","")&amp;IF(AND(B504&lt;&gt;"",D504&lt;&gt;"",IFERROR(VLOOKUP(D504,Категории!$A$3:$B$27,2,FALSE),"")&lt;&gt;B504),"ТИП/КАТЕГОРИЯ; ","")&amp;IF(AND(B504="Доход",G504=""),"НЕТ № КВИТАНЦИИ; ","")&amp;IF(AND(B504="Расход",H504="",IFERROR(VLOOKUP(D504,Категории!$A$3:$D$27,4,FALSE),"")=""),"УКАЖИТЕ ДОЛЮ; ","")&amp;IF(COUNTIFS($A$5:$A$504,A504,$B$5:$B$504,B504,$C$5:$C$504,C504,$E$5:$E$504,E504)&gt;1,"ВОЗМОЖНЫЙ ДУБЛЬ; ",""))</f>
        <v/>
      </c>
      <c r="N504" s="30" t="str">
        <f>IF(A504="","",IF(Настройки_2026!$B$6="ДЕМО",1,IF(I504="ДЕМО",0,1)))</f>
        <v/>
      </c>
    </row>
  </sheetData>
  <autoFilter ref="A4:N504" xr:uid="{00000000-0009-0000-0000-000004000000}"/>
  <mergeCells count="2">
    <mergeCell ref="A2:N2"/>
    <mergeCell ref="A1:N1"/>
  </mergeCells>
  <conditionalFormatting sqref="A5:N504">
    <cfRule type="expression" dxfId="17" priority="1">
      <formula>MONTH($A5)=1</formula>
    </cfRule>
    <cfRule type="expression" dxfId="16" priority="2">
      <formula>MONTH($A5)=2</formula>
    </cfRule>
    <cfRule type="expression" dxfId="15" priority="3">
      <formula>MONTH($A5)=3</formula>
    </cfRule>
    <cfRule type="expression" dxfId="14" priority="4">
      <formula>MONTH($A5)=4</formula>
    </cfRule>
    <cfRule type="expression" dxfId="13" priority="5">
      <formula>MONTH($A5)=5</formula>
    </cfRule>
    <cfRule type="expression" dxfId="12" priority="6">
      <formula>MONTH($A5)=6</formula>
    </cfRule>
    <cfRule type="expression" dxfId="11" priority="7">
      <formula>MONTH($A5)=7</formula>
    </cfRule>
    <cfRule type="expression" dxfId="10" priority="8">
      <formula>MONTH($A5)=8</formula>
    </cfRule>
    <cfRule type="expression" dxfId="9" priority="9">
      <formula>MONTH($A5)=9</formula>
    </cfRule>
    <cfRule type="expression" dxfId="8" priority="10">
      <formula>MONTH($A5)=10</formula>
    </cfRule>
    <cfRule type="expression" dxfId="7" priority="11">
      <formula>MONTH($A5)=11</formula>
    </cfRule>
    <cfRule type="expression" dxfId="6" priority="12">
      <formula>MONTH($A5)=12</formula>
    </cfRule>
  </conditionalFormatting>
  <conditionalFormatting sqref="M5:M504">
    <cfRule type="expression" dxfId="5" priority="13">
      <formula>$M5&lt;&gt;""</formula>
    </cfRule>
  </conditionalFormatting>
  <dataValidations count="5">
    <dataValidation type="list" allowBlank="1" sqref="B5:B504" xr:uid="{00000000-0002-0000-0400-000000000000}">
      <formula1>TypeList</formula1>
    </dataValidation>
    <dataValidation type="list" allowBlank="1" sqref="D5:D504" xr:uid="{00000000-0002-0000-0400-000001000000}">
      <formula1>CategoryList</formula1>
    </dataValidation>
    <dataValidation type="list" allowBlank="1" sqref="F5:F504" xr:uid="{00000000-0002-0000-0400-000002000000}">
      <formula1>PaymentList</formula1>
    </dataValidation>
    <dataValidation type="list" allowBlank="1" sqref="I5:I504" xr:uid="{00000000-0002-0000-0400-000003000000}">
      <formula1>SourceList</formula1>
    </dataValidation>
    <dataValidation type="decimal" allowBlank="1" sqref="H5:H504" xr:uid="{00000000-0002-0000-0400-000004000000}">
      <formula1>0</formula1>
      <formula2>1</formula2>
    </dataValidation>
  </dataValidations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8"/>
  <sheetViews>
    <sheetView showGridLines="0" workbookViewId="0">
      <pane ySplit="9" topLeftCell="A23" activePane="bottomLeft" state="frozen"/>
      <selection pane="bottomLeft" activeCell="G51" sqref="G51"/>
    </sheetView>
  </sheetViews>
  <sheetFormatPr defaultRowHeight="15" x14ac:dyDescent="0.25"/>
  <cols>
    <col min="1" max="1" width="34" customWidth="1"/>
    <col min="2" max="2" width="16" customWidth="1"/>
    <col min="3" max="3" width="4" customWidth="1"/>
    <col min="4" max="4" width="30" customWidth="1"/>
    <col min="5" max="5" width="20" customWidth="1"/>
    <col min="6" max="6" width="4" customWidth="1"/>
    <col min="7" max="8" width="18" customWidth="1"/>
    <col min="9" max="9" width="16" customWidth="1"/>
    <col min="10" max="10" width="5.7109375" customWidth="1"/>
  </cols>
  <sheetData>
    <row r="1" spans="1:10" ht="27.95" customHeight="1" x14ac:dyDescent="0.25">
      <c r="A1" s="43" t="s">
        <v>437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25">
      <c r="A2" s="44" t="s">
        <v>438</v>
      </c>
      <c r="B2" s="40"/>
      <c r="C2" s="40"/>
      <c r="D2" s="40"/>
      <c r="E2" s="40"/>
      <c r="F2" s="40"/>
      <c r="G2" s="40"/>
      <c r="H2" s="40"/>
      <c r="I2" s="40"/>
      <c r="J2" s="40"/>
    </row>
    <row r="4" spans="1:10" x14ac:dyDescent="0.25">
      <c r="A4" s="46" t="s">
        <v>439</v>
      </c>
      <c r="B4" s="40"/>
      <c r="C4" s="52" t="s">
        <v>440</v>
      </c>
      <c r="D4" s="40"/>
      <c r="E4" s="48" t="s">
        <v>441</v>
      </c>
      <c r="F4" s="40"/>
      <c r="G4" s="47" t="s">
        <v>442</v>
      </c>
      <c r="H4" s="40"/>
      <c r="I4" s="49" t="s">
        <v>103</v>
      </c>
      <c r="J4" s="40"/>
    </row>
    <row r="5" spans="1:10" x14ac:dyDescent="0.25">
      <c r="A5" s="51">
        <f>SUMIFS(Операции!$E$5:$E$504,Операции!$B$5:$B$504,"Доход",Операции!$N$5:$N$504,1)</f>
        <v>83200</v>
      </c>
      <c r="B5" s="40"/>
      <c r="C5" s="50">
        <f>IF(Настройки_2026!$B$29=0,0,A5/Настройки_2026!$B$29)</f>
        <v>0.67734240798482492</v>
      </c>
      <c r="D5" s="40"/>
      <c r="E5" s="51">
        <f>Настройки_2026!$B$29-A5</f>
        <v>39633</v>
      </c>
      <c r="F5" s="40"/>
      <c r="G5" s="51">
        <f>SUMIFS(Операции!$E$5:$E$504,Операции!$B$5:$B$504,"Расход",Операции!$N$5:$N$504,1)</f>
        <v>15020</v>
      </c>
      <c r="H5" s="40"/>
      <c r="I5" s="51">
        <f>SUMIFS(Операции!$E$5:$E$504,Операции!$B$5:$B$504,"Доход",Операции!$N$5:$N$504,1)-SUMIFS(Операции!$E$5:$E$504,Операции!$B$5:$B$504,"Расход",Операции!$N$5:$N$504,1)-SUMIFS(Операции!$E$5:$E$504,Операции!$B$5:$B$504,"Налог/взнос",Операции!$N$5:$N$504,1)</f>
        <v>57830</v>
      </c>
      <c r="J5" s="40"/>
    </row>
    <row r="6" spans="1:10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</row>
    <row r="8" spans="1:10" x14ac:dyDescent="0.25">
      <c r="A8" s="46" t="str">
        <f>IF(A5&gt;Настройки_2026!$B$29,"ЛИМИТ עוסק פטור ПРЕВЫШЕН - проверьте обязанность изменить регистрацию в מע״מ",IF(C5&gt;=0.9,"ВНИМАНИЕ: использовано 90% или более лимита",IF(C5&gt;=0.75,"Контроль: использовано 75% или более лимита","В пределах лимита")))</f>
        <v>В пределах лимита</v>
      </c>
      <c r="B8" s="40"/>
      <c r="C8" s="40"/>
      <c r="D8" s="40"/>
      <c r="E8" s="40"/>
      <c r="F8" s="40"/>
      <c r="G8" s="40"/>
      <c r="H8" s="40"/>
      <c r="I8" s="40"/>
      <c r="J8" s="40"/>
    </row>
    <row r="10" spans="1:10" ht="21.95" customHeight="1" x14ac:dyDescent="0.25">
      <c r="A10" s="42" t="s">
        <v>443</v>
      </c>
      <c r="B10" s="40"/>
      <c r="C10" s="40"/>
      <c r="D10" s="40"/>
      <c r="E10" s="40"/>
      <c r="F10" s="40"/>
      <c r="G10" s="40"/>
      <c r="H10" s="40"/>
      <c r="I10" s="40"/>
      <c r="J10" s="40"/>
    </row>
    <row r="11" spans="1:10" ht="27.95" customHeight="1" x14ac:dyDescent="0.25">
      <c r="A11" s="3" t="s">
        <v>444</v>
      </c>
      <c r="B11" s="3" t="s">
        <v>445</v>
      </c>
      <c r="C11" s="3" t="s">
        <v>442</v>
      </c>
      <c r="D11" s="3" t="s">
        <v>446</v>
      </c>
      <c r="E11" s="3" t="s">
        <v>103</v>
      </c>
      <c r="F11" s="3" t="s">
        <v>447</v>
      </c>
      <c r="G11" s="3" t="s">
        <v>448</v>
      </c>
      <c r="H11" s="3" t="s">
        <v>449</v>
      </c>
      <c r="I11" s="3" t="s">
        <v>589</v>
      </c>
      <c r="J11" s="3" t="s">
        <v>450</v>
      </c>
    </row>
    <row r="12" spans="1:10" x14ac:dyDescent="0.25">
      <c r="A12" t="s">
        <v>451</v>
      </c>
      <c r="B12" s="32">
        <f>SUMIFS(Операции!$E$5:$E$504,Операции!$B$5:$B$504,"Доход",Операции!$A$5:$A$504,"&gt;="&amp;DATE(Настройки_2026!$B$7,$J12,1),Операции!$A$5:$A$504,"&lt;"&amp;DATE(Настройки_2026!$B$7,$J12+1,1),Операции!$N$5:$N$504,1)</f>
        <v>8400</v>
      </c>
      <c r="C12" s="32">
        <f>SUMIFS(Операции!$E$5:$E$504,Операции!$B$5:$B$504,"Расход",Операции!$A$5:$A$504,"&gt;="&amp;DATE(Настройки_2026!$B$7,$J12,1),Операции!$A$5:$A$504,"&lt;"&amp;DATE(Настройки_2026!$B$7,$J12+1,1),Операции!$N$5:$N$504,1)</f>
        <v>1440</v>
      </c>
      <c r="D12" s="32">
        <f>SUMIFS(Операции!$E$5:$E$504,Операции!$B$5:$B$504,"Налог/взнос",Операции!$A$5:$A$504,"&gt;="&amp;DATE(Настройки_2026!$B$7,$J12,1),Операции!$A$5:$A$504,"&lt;"&amp;DATE(Настройки_2026!$B$7,$J12+1,1),Операции!$N$5:$N$504,1)</f>
        <v>1150</v>
      </c>
      <c r="E12" s="32">
        <f t="shared" ref="E12:E23" si="0">B12-C12-D12</f>
        <v>5810</v>
      </c>
      <c r="F12" s="32">
        <f>SUM($B$12:B12)</f>
        <v>8400</v>
      </c>
      <c r="G12" s="32">
        <f>Настройки_2026!$B$29</f>
        <v>122833</v>
      </c>
      <c r="H12" s="14">
        <f t="shared" ref="H12:H23" si="1">IF(G12=0,0,F12/G12)</f>
        <v>6.8385531575390984E-2</v>
      </c>
      <c r="I12" cm="1">
        <f t="array" ref="I12">SUMPRODUCT((Операции!$K$5:$K$504=$J12)*(Операции!$N$5:$N$504=1)*(LEN(Операции!$M$5:$M$504)&gt;0))</f>
        <v>1</v>
      </c>
      <c r="J12">
        <v>1</v>
      </c>
    </row>
    <row r="13" spans="1:10" x14ac:dyDescent="0.25">
      <c r="A13" t="s">
        <v>452</v>
      </c>
      <c r="B13" s="32">
        <f>SUMIFS(Операции!$E$5:$E$504,Операции!$B$5:$B$504,"Доход",Операции!$A$5:$A$504,"&gt;="&amp;DATE(Настройки_2026!$B$7,$J13,1),Операции!$A$5:$A$504,"&lt;"&amp;DATE(Настройки_2026!$B$7,$J13+1,1),Операции!$N$5:$N$504,1)</f>
        <v>9100</v>
      </c>
      <c r="C13" s="32">
        <f>SUMIFS(Операции!$E$5:$E$504,Операции!$B$5:$B$504,"Расход",Операции!$A$5:$A$504,"&gt;="&amp;DATE(Настройки_2026!$B$7,$J13,1),Операции!$A$5:$A$504,"&lt;"&amp;DATE(Настройки_2026!$B$7,$J13+1,1),Операции!$N$5:$N$504,1)</f>
        <v>1790</v>
      </c>
      <c r="D13" s="32">
        <f>SUMIFS(Операции!$E$5:$E$504,Операции!$B$5:$B$504,"Налог/взнос",Операции!$A$5:$A$504,"&gt;="&amp;DATE(Настройки_2026!$B$7,$J13,1),Операции!$A$5:$A$504,"&lt;"&amp;DATE(Настройки_2026!$B$7,$J13+1,1),Операции!$N$5:$N$504,1)</f>
        <v>1150</v>
      </c>
      <c r="E13" s="32">
        <f t="shared" si="0"/>
        <v>6160</v>
      </c>
      <c r="F13" s="32">
        <f>SUM($B$12:B13)</f>
        <v>17500</v>
      </c>
      <c r="G13" s="32">
        <f>Настройки_2026!$B$29</f>
        <v>122833</v>
      </c>
      <c r="H13" s="14">
        <f t="shared" si="1"/>
        <v>0.1424698574487312</v>
      </c>
      <c r="I13" cm="1">
        <f t="array" ref="I13">SUMPRODUCT((Операции!$K$5:$K$504=$J13)*(Операции!$N$5:$N$504=1)*(LEN(Операции!$M$5:$M$504)&gt;0))</f>
        <v>1</v>
      </c>
      <c r="J13">
        <v>2</v>
      </c>
    </row>
    <row r="14" spans="1:10" x14ac:dyDescent="0.25">
      <c r="A14" t="s">
        <v>453</v>
      </c>
      <c r="B14" s="32">
        <f>SUMIFS(Операции!$E$5:$E$504,Операции!$B$5:$B$504,"Доход",Операции!$A$5:$A$504,"&gt;="&amp;DATE(Настройки_2026!$B$7,$J14,1),Операции!$A$5:$A$504,"&lt;"&amp;DATE(Настройки_2026!$B$7,$J14+1,1),Операции!$N$5:$N$504,1)</f>
        <v>9500</v>
      </c>
      <c r="C14" s="32">
        <f>SUMIFS(Операции!$E$5:$E$504,Операции!$B$5:$B$504,"Расход",Операции!$A$5:$A$504,"&gt;="&amp;DATE(Настройки_2026!$B$7,$J14,1),Операции!$A$5:$A$504,"&lt;"&amp;DATE(Настройки_2026!$B$7,$J14+1,1),Операции!$N$5:$N$504,1)</f>
        <v>1580</v>
      </c>
      <c r="D14" s="32">
        <f>SUMIFS(Операции!$E$5:$E$504,Операции!$B$5:$B$504,"Налог/взнос",Операции!$A$5:$A$504,"&gt;="&amp;DATE(Настройки_2026!$B$7,$J14,1),Операции!$A$5:$A$504,"&lt;"&amp;DATE(Настройки_2026!$B$7,$J14+1,1),Операции!$N$5:$N$504,1)</f>
        <v>1150</v>
      </c>
      <c r="E14" s="32">
        <f t="shared" si="0"/>
        <v>6770</v>
      </c>
      <c r="F14" s="32">
        <f>SUM($B$12:B14)</f>
        <v>27000</v>
      </c>
      <c r="G14" s="32">
        <f>Настройки_2026!$B$29</f>
        <v>122833</v>
      </c>
      <c r="H14" s="14">
        <f t="shared" si="1"/>
        <v>0.21981063720661387</v>
      </c>
      <c r="I14" cm="1">
        <f t="array" ref="I14">SUMPRODUCT((Операции!$K$5:$K$504=$J14)*(Операции!$N$5:$N$504=1)*(LEN(Операции!$M$5:$M$504)&gt;0))</f>
        <v>1</v>
      </c>
      <c r="J14">
        <v>3</v>
      </c>
    </row>
    <row r="15" spans="1:10" x14ac:dyDescent="0.25">
      <c r="A15" t="s">
        <v>454</v>
      </c>
      <c r="B15" s="32">
        <f>SUMIFS(Операции!$E$5:$E$504,Операции!$B$5:$B$504,"Доход",Операции!$A$5:$A$504,"&gt;="&amp;DATE(Настройки_2026!$B$7,$J15,1),Операции!$A$5:$A$504,"&lt;"&amp;DATE(Настройки_2026!$B$7,$J15+1,1),Операции!$N$5:$N$504,1)</f>
        <v>8800</v>
      </c>
      <c r="C15" s="32">
        <f>SUMIFS(Операции!$E$5:$E$504,Операции!$B$5:$B$504,"Расход",Операции!$A$5:$A$504,"&gt;="&amp;DATE(Настройки_2026!$B$7,$J15,1),Операции!$A$5:$A$504,"&lt;"&amp;DATE(Настройки_2026!$B$7,$J15+1,1),Операции!$N$5:$N$504,1)</f>
        <v>1485</v>
      </c>
      <c r="D15" s="32">
        <f>SUMIFS(Операции!$E$5:$E$504,Операции!$B$5:$B$504,"Налог/взнос",Операции!$A$5:$A$504,"&gt;="&amp;DATE(Настройки_2026!$B$7,$J15,1),Операции!$A$5:$A$504,"&lt;"&amp;DATE(Настройки_2026!$B$7,$J15+1,1),Операции!$N$5:$N$504,1)</f>
        <v>1150</v>
      </c>
      <c r="E15" s="32">
        <f t="shared" si="0"/>
        <v>6165</v>
      </c>
      <c r="F15" s="32">
        <f>SUM($B$12:B15)</f>
        <v>35800</v>
      </c>
      <c r="G15" s="32">
        <f>Настройки_2026!$B$29</f>
        <v>122833</v>
      </c>
      <c r="H15" s="14">
        <f t="shared" si="1"/>
        <v>0.29145262266654726</v>
      </c>
      <c r="I15" cm="1">
        <f t="array" ref="I15">SUMPRODUCT((Операции!$K$5:$K$504=$J15)*(Операции!$N$5:$N$504=1)*(LEN(Операции!$M$5:$M$504)&gt;0))</f>
        <v>0</v>
      </c>
      <c r="J15">
        <v>4</v>
      </c>
    </row>
    <row r="16" spans="1:10" x14ac:dyDescent="0.25">
      <c r="A16" t="s">
        <v>455</v>
      </c>
      <c r="B16" s="32">
        <f>SUMIFS(Операции!$E$5:$E$504,Операции!$B$5:$B$504,"Доход",Операции!$A$5:$A$504,"&gt;="&amp;DATE(Настройки_2026!$B$7,$J16,1),Операции!$A$5:$A$504,"&lt;"&amp;DATE(Настройки_2026!$B$7,$J16+1,1),Операции!$N$5:$N$504,1)</f>
        <v>10200</v>
      </c>
      <c r="C16" s="32">
        <f>SUMIFS(Операции!$E$5:$E$504,Операции!$B$5:$B$504,"Расход",Операции!$A$5:$A$504,"&gt;="&amp;DATE(Настройки_2026!$B$7,$J16,1),Операции!$A$5:$A$504,"&lt;"&amp;DATE(Настройки_2026!$B$7,$J16+1,1),Операции!$N$5:$N$504,1)</f>
        <v>2500</v>
      </c>
      <c r="D16" s="32">
        <f>SUMIFS(Операции!$E$5:$E$504,Операции!$B$5:$B$504,"Налог/взнос",Операции!$A$5:$A$504,"&gt;="&amp;DATE(Настройки_2026!$B$7,$J16,1),Операции!$A$5:$A$504,"&lt;"&amp;DATE(Настройки_2026!$B$7,$J16+1,1),Операции!$N$5:$N$504,1)</f>
        <v>1150</v>
      </c>
      <c r="E16" s="32">
        <f t="shared" si="0"/>
        <v>6550</v>
      </c>
      <c r="F16" s="32">
        <f>SUM($B$12:B16)</f>
        <v>46000</v>
      </c>
      <c r="G16" s="32">
        <f>Настройки_2026!$B$29</f>
        <v>122833</v>
      </c>
      <c r="H16" s="14">
        <f t="shared" si="1"/>
        <v>0.37449219672237916</v>
      </c>
      <c r="I16" cm="1">
        <f t="array" ref="I16">SUMPRODUCT((Операции!$K$5:$K$504=$J16)*(Операции!$N$5:$N$504=1)*(LEN(Операции!$M$5:$M$504)&gt;0))</f>
        <v>1</v>
      </c>
      <c r="J16">
        <v>5</v>
      </c>
    </row>
    <row r="17" spans="1:10" x14ac:dyDescent="0.25">
      <c r="A17" t="s">
        <v>456</v>
      </c>
      <c r="B17" s="32">
        <f>SUMIFS(Операции!$E$5:$E$504,Операции!$B$5:$B$504,"Доход",Операции!$A$5:$A$504,"&gt;="&amp;DATE(Настройки_2026!$B$7,$J17,1),Операции!$A$5:$A$504,"&lt;"&amp;DATE(Настройки_2026!$B$7,$J17+1,1),Операции!$N$5:$N$504,1)</f>
        <v>9700</v>
      </c>
      <c r="C17" s="32">
        <f>SUMIFS(Операции!$E$5:$E$504,Операции!$B$5:$B$504,"Расход",Операции!$A$5:$A$504,"&gt;="&amp;DATE(Настройки_2026!$B$7,$J17,1),Операции!$A$5:$A$504,"&lt;"&amp;DATE(Настройки_2026!$B$7,$J17+1,1),Операции!$N$5:$N$504,1)</f>
        <v>1200</v>
      </c>
      <c r="D17" s="32">
        <f>SUMIFS(Операции!$E$5:$E$504,Операции!$B$5:$B$504,"Налог/взнос",Операции!$A$5:$A$504,"&gt;="&amp;DATE(Настройки_2026!$B$7,$J17,1),Операции!$A$5:$A$504,"&lt;"&amp;DATE(Настройки_2026!$B$7,$J17+1,1),Операции!$N$5:$N$504,1)</f>
        <v>1150</v>
      </c>
      <c r="E17" s="32">
        <f t="shared" si="0"/>
        <v>7350</v>
      </c>
      <c r="F17" s="32">
        <f>SUM($B$12:B17)</f>
        <v>55700</v>
      </c>
      <c r="G17" s="32">
        <f>Настройки_2026!$B$29</f>
        <v>122833</v>
      </c>
      <c r="H17" s="14">
        <f t="shared" si="1"/>
        <v>0.45346120342253304</v>
      </c>
      <c r="I17" cm="1">
        <f t="array" ref="I17">SUMPRODUCT((Операции!$K$5:$K$504=$J17)*(Операции!$N$5:$N$504=1)*(LEN(Операции!$M$5:$M$504)&gt;0))</f>
        <v>1</v>
      </c>
      <c r="J17">
        <v>6</v>
      </c>
    </row>
    <row r="18" spans="1:10" x14ac:dyDescent="0.25">
      <c r="A18" t="s">
        <v>457</v>
      </c>
      <c r="B18" s="32">
        <f>SUMIFS(Операции!$E$5:$E$504,Операции!$B$5:$B$504,"Доход",Операции!$A$5:$A$504,"&gt;="&amp;DATE(Настройки_2026!$B$7,$J18,1),Операции!$A$5:$A$504,"&lt;"&amp;DATE(Настройки_2026!$B$7,$J18+1,1),Операции!$N$5:$N$504,1)</f>
        <v>9000</v>
      </c>
      <c r="C18" s="32">
        <f>SUMIFS(Операции!$E$5:$E$504,Операции!$B$5:$B$504,"Расход",Операции!$A$5:$A$504,"&gt;="&amp;DATE(Настройки_2026!$B$7,$J18,1),Операции!$A$5:$A$504,"&lt;"&amp;DATE(Настройки_2026!$B$7,$J18+1,1),Операции!$N$5:$N$504,1)</f>
        <v>1890</v>
      </c>
      <c r="D18" s="32">
        <f>SUMIFS(Операции!$E$5:$E$504,Операции!$B$5:$B$504,"Налог/взнос",Операции!$A$5:$A$504,"&gt;="&amp;DATE(Настройки_2026!$B$7,$J18,1),Операции!$A$5:$A$504,"&lt;"&amp;DATE(Настройки_2026!$B$7,$J18+1,1),Операции!$N$5:$N$504,1)</f>
        <v>1150</v>
      </c>
      <c r="E18" s="32">
        <f t="shared" si="0"/>
        <v>5960</v>
      </c>
      <c r="F18" s="32">
        <f>SUM($B$12:B18)</f>
        <v>64700</v>
      </c>
      <c r="G18" s="32">
        <f>Настройки_2026!$B$29</f>
        <v>122833</v>
      </c>
      <c r="H18" s="14">
        <f t="shared" si="1"/>
        <v>0.5267314158247377</v>
      </c>
      <c r="I18" cm="1">
        <f t="array" ref="I18">SUMPRODUCT((Операции!$K$5:$K$504=$J18)*(Операции!$N$5:$N$504=1)*(LEN(Операции!$M$5:$M$504)&gt;0))</f>
        <v>1</v>
      </c>
      <c r="J18">
        <v>7</v>
      </c>
    </row>
    <row r="19" spans="1:10" x14ac:dyDescent="0.25">
      <c r="A19" t="s">
        <v>458</v>
      </c>
      <c r="B19" s="32">
        <f>SUMIFS(Операции!$E$5:$E$504,Операции!$B$5:$B$504,"Доход",Операции!$A$5:$A$504,"&gt;="&amp;DATE(Настройки_2026!$B$7,$J19,1),Операции!$A$5:$A$504,"&lt;"&amp;DATE(Настройки_2026!$B$7,$J19+1,1),Операции!$N$5:$N$504,1)</f>
        <v>9600</v>
      </c>
      <c r="C19" s="32">
        <f>SUMIFS(Операции!$E$5:$E$504,Операции!$B$5:$B$504,"Расход",Операции!$A$5:$A$504,"&gt;="&amp;DATE(Настройки_2026!$B$7,$J19,1),Операции!$A$5:$A$504,"&lt;"&amp;DATE(Настройки_2026!$B$7,$J19+1,1),Операции!$N$5:$N$504,1)</f>
        <v>1810</v>
      </c>
      <c r="D19" s="32">
        <f>SUMIFS(Операции!$E$5:$E$504,Операции!$B$5:$B$504,"Налог/взнос",Операции!$A$5:$A$504,"&gt;="&amp;DATE(Настройки_2026!$B$7,$J19,1),Операции!$A$5:$A$504,"&lt;"&amp;DATE(Настройки_2026!$B$7,$J19+1,1),Операции!$N$5:$N$504,1)</f>
        <v>1150</v>
      </c>
      <c r="E19" s="32">
        <f t="shared" si="0"/>
        <v>6640</v>
      </c>
      <c r="F19" s="32">
        <f>SUM($B$12:B19)</f>
        <v>74300</v>
      </c>
      <c r="G19" s="32">
        <f>Настройки_2026!$B$29</f>
        <v>122833</v>
      </c>
      <c r="H19" s="14">
        <f t="shared" si="1"/>
        <v>0.60488630905375596</v>
      </c>
      <c r="I19" cm="1">
        <f t="array" ref="I19">SUMPRODUCT((Операции!$K$5:$K$504=$J19)*(Операции!$N$5:$N$504=1)*(LEN(Операции!$M$5:$M$504)&gt;0))</f>
        <v>1</v>
      </c>
      <c r="J19">
        <v>8</v>
      </c>
    </row>
    <row r="20" spans="1:10" x14ac:dyDescent="0.25">
      <c r="A20" t="s">
        <v>459</v>
      </c>
      <c r="B20" s="32">
        <f>SUMIFS(Операции!$E$5:$E$504,Операции!$B$5:$B$504,"Доход",Операции!$A$5:$A$504,"&gt;="&amp;DATE(Настройки_2026!$B$7,$J20,1),Операции!$A$5:$A$504,"&lt;"&amp;DATE(Настройки_2026!$B$7,$J20+1,1),Операции!$N$5:$N$504,1)</f>
        <v>8900</v>
      </c>
      <c r="C20" s="32">
        <f>SUMIFS(Операции!$E$5:$E$504,Операции!$B$5:$B$504,"Расход",Операции!$A$5:$A$504,"&gt;="&amp;DATE(Настройки_2026!$B$7,$J20,1),Операции!$A$5:$A$504,"&lt;"&amp;DATE(Настройки_2026!$B$7,$J20+1,1),Операции!$N$5:$N$504,1)</f>
        <v>1325</v>
      </c>
      <c r="D20" s="32">
        <f>SUMIFS(Операции!$E$5:$E$504,Операции!$B$5:$B$504,"Налог/взнос",Операции!$A$5:$A$504,"&gt;="&amp;DATE(Настройки_2026!$B$7,$J20,1),Операции!$A$5:$A$504,"&lt;"&amp;DATE(Настройки_2026!$B$7,$J20+1,1),Операции!$N$5:$N$504,1)</f>
        <v>1150</v>
      </c>
      <c r="E20" s="32">
        <f t="shared" si="0"/>
        <v>6425</v>
      </c>
      <c r="F20" s="32">
        <f>SUM($B$12:B20)</f>
        <v>83200</v>
      </c>
      <c r="G20" s="32">
        <f>Настройки_2026!$B$29</f>
        <v>122833</v>
      </c>
      <c r="H20" s="14">
        <f t="shared" si="1"/>
        <v>0.67734240798482492</v>
      </c>
      <c r="I20" cm="1">
        <f t="array" ref="I20">SUMPRODUCT((Операции!$K$5:$K$504=$J20)*(Операции!$N$5:$N$504=1)*(LEN(Операции!$M$5:$M$504)&gt;0))</f>
        <v>0</v>
      </c>
      <c r="J20">
        <v>9</v>
      </c>
    </row>
    <row r="21" spans="1:10" x14ac:dyDescent="0.25">
      <c r="A21" t="s">
        <v>460</v>
      </c>
      <c r="B21" s="32">
        <f>SUMIFS(Операции!$E$5:$E$504,Операции!$B$5:$B$504,"Доход",Операции!$A$5:$A$504,"&gt;="&amp;DATE(Настройки_2026!$B$7,$J21,1),Операции!$A$5:$A$504,"&lt;"&amp;DATE(Настройки_2026!$B$7,$J21+1,1),Операции!$N$5:$N$504,1)</f>
        <v>0</v>
      </c>
      <c r="C21" s="32">
        <f>SUMIFS(Операции!$E$5:$E$504,Операции!$B$5:$B$504,"Расход",Операции!$A$5:$A$504,"&gt;="&amp;DATE(Настройки_2026!$B$7,$J21,1),Операции!$A$5:$A$504,"&lt;"&amp;DATE(Настройки_2026!$B$7,$J21+1,1),Операции!$N$5:$N$504,1)</f>
        <v>0</v>
      </c>
      <c r="D21" s="32">
        <f>SUMIFS(Операции!$E$5:$E$504,Операции!$B$5:$B$504,"Налог/взнос",Операции!$A$5:$A$504,"&gt;="&amp;DATE(Настройки_2026!$B$7,$J21,1),Операции!$A$5:$A$504,"&lt;"&amp;DATE(Настройки_2026!$B$7,$J21+1,1),Операции!$N$5:$N$504,1)</f>
        <v>0</v>
      </c>
      <c r="E21" s="32">
        <f t="shared" si="0"/>
        <v>0</v>
      </c>
      <c r="F21" s="32">
        <f>SUM($B$12:B21)</f>
        <v>83200</v>
      </c>
      <c r="G21" s="32">
        <f>Настройки_2026!$B$29</f>
        <v>122833</v>
      </c>
      <c r="H21" s="14">
        <f t="shared" si="1"/>
        <v>0.67734240798482492</v>
      </c>
      <c r="I21" cm="1">
        <f t="array" ref="I21">SUMPRODUCT((Операции!$K$5:$K$504=$J21)*(Операции!$N$5:$N$504=1)*(LEN(Операции!$M$5:$M$504)&gt;0))</f>
        <v>0</v>
      </c>
      <c r="J21">
        <v>10</v>
      </c>
    </row>
    <row r="22" spans="1:10" x14ac:dyDescent="0.25">
      <c r="A22" t="s">
        <v>461</v>
      </c>
      <c r="B22" s="32">
        <f>SUMIFS(Операции!$E$5:$E$504,Операции!$B$5:$B$504,"Доход",Операции!$A$5:$A$504,"&gt;="&amp;DATE(Настройки_2026!$B$7,$J22,1),Операции!$A$5:$A$504,"&lt;"&amp;DATE(Настройки_2026!$B$7,$J22+1,1),Операции!$N$5:$N$504,1)</f>
        <v>0</v>
      </c>
      <c r="C22" s="32">
        <f>SUMIFS(Операции!$E$5:$E$504,Операции!$B$5:$B$504,"Расход",Операции!$A$5:$A$504,"&gt;="&amp;DATE(Настройки_2026!$B$7,$J22,1),Операции!$A$5:$A$504,"&lt;"&amp;DATE(Настройки_2026!$B$7,$J22+1,1),Операции!$N$5:$N$504,1)</f>
        <v>0</v>
      </c>
      <c r="D22" s="32">
        <f>SUMIFS(Операции!$E$5:$E$504,Операции!$B$5:$B$504,"Налог/взнос",Операции!$A$5:$A$504,"&gt;="&amp;DATE(Настройки_2026!$B$7,$J22,1),Операции!$A$5:$A$504,"&lt;"&amp;DATE(Настройки_2026!$B$7,$J22+1,1),Операции!$N$5:$N$504,1)</f>
        <v>0</v>
      </c>
      <c r="E22" s="32">
        <f t="shared" si="0"/>
        <v>0</v>
      </c>
      <c r="F22" s="32">
        <f>SUM($B$12:B22)</f>
        <v>83200</v>
      </c>
      <c r="G22" s="32">
        <f>Настройки_2026!$B$29</f>
        <v>122833</v>
      </c>
      <c r="H22" s="14">
        <f t="shared" si="1"/>
        <v>0.67734240798482492</v>
      </c>
      <c r="I22" cm="1">
        <f t="array" ref="I22">SUMPRODUCT((Операции!$K$5:$K$504=$J22)*(Операции!$N$5:$N$504=1)*(LEN(Операции!$M$5:$M$504)&gt;0))</f>
        <v>0</v>
      </c>
      <c r="J22">
        <v>11</v>
      </c>
    </row>
    <row r="23" spans="1:10" x14ac:dyDescent="0.25">
      <c r="A23" t="s">
        <v>462</v>
      </c>
      <c r="B23" s="32">
        <f>SUMIFS(Операции!$E$5:$E$504,Операции!$B$5:$B$504,"Доход",Операции!$A$5:$A$504,"&gt;="&amp;DATE(Настройки_2026!$B$7,$J23,1),Операции!$A$5:$A$504,"&lt;"&amp;DATE(Настройки_2026!$B$7,$J23+1,1),Операции!$N$5:$N$504,1)</f>
        <v>0</v>
      </c>
      <c r="C23" s="32">
        <f>SUMIFS(Операции!$E$5:$E$504,Операции!$B$5:$B$504,"Расход",Операции!$A$5:$A$504,"&gt;="&amp;DATE(Настройки_2026!$B$7,$J23,1),Операции!$A$5:$A$504,"&lt;"&amp;DATE(Настройки_2026!$B$7,$J23+1,1),Операции!$N$5:$N$504,1)</f>
        <v>0</v>
      </c>
      <c r="D23" s="32">
        <f>SUMIFS(Операции!$E$5:$E$504,Операции!$B$5:$B$504,"Налог/взнос",Операции!$A$5:$A$504,"&gt;="&amp;DATE(Настройки_2026!$B$7,$J23,1),Операции!$A$5:$A$504,"&lt;"&amp;DATE(Настройки_2026!$B$7,$J23+1,1),Операции!$N$5:$N$504,1)</f>
        <v>0</v>
      </c>
      <c r="E23" s="32">
        <f t="shared" si="0"/>
        <v>0</v>
      </c>
      <c r="F23" s="32">
        <f>SUM($B$12:B23)</f>
        <v>83200</v>
      </c>
      <c r="G23" s="32">
        <f>Настройки_2026!$B$29</f>
        <v>122833</v>
      </c>
      <c r="H23" s="14">
        <f t="shared" si="1"/>
        <v>0.67734240798482492</v>
      </c>
      <c r="I23" cm="1">
        <f t="array" ref="I23">SUMPRODUCT((Операции!$K$5:$K$504=$J23)*(Операции!$N$5:$N$504=1)*(LEN(Операции!$M$5:$M$504)&gt;0))</f>
        <v>0</v>
      </c>
      <c r="J23">
        <v>12</v>
      </c>
    </row>
    <row r="40" spans="1:10" ht="21.95" customHeight="1" x14ac:dyDescent="0.25">
      <c r="A40" s="42" t="s">
        <v>463</v>
      </c>
      <c r="B40" s="40"/>
      <c r="C40" s="40"/>
      <c r="D40" s="40"/>
      <c r="E40" s="40"/>
      <c r="F40" s="40"/>
      <c r="G40" s="40"/>
      <c r="H40" s="40"/>
      <c r="I40" s="40"/>
      <c r="J40" s="40"/>
    </row>
    <row r="41" spans="1:10" x14ac:dyDescent="0.25">
      <c r="A41" s="5" t="s">
        <v>464</v>
      </c>
      <c r="B41" s="32">
        <f>A5</f>
        <v>83200</v>
      </c>
      <c r="D41" t="s">
        <v>465</v>
      </c>
      <c r="E41" t="str">
        <f>Настройки_2026!$B$8</f>
        <v>בעל עסק זעיר (30%)</v>
      </c>
    </row>
    <row r="42" spans="1:10" x14ac:dyDescent="0.25">
      <c r="A42" s="5" t="s">
        <v>466</v>
      </c>
      <c r="B42" s="32">
        <f>SUMIFS(Операции!$L$5:$L$504,Операции!$B$5:$B$504,"Расход",Операции!$N$5:$N$504,1)</f>
        <v>12840</v>
      </c>
      <c r="D42" t="s">
        <v>467</v>
      </c>
      <c r="E42" t="str">
        <f>Настройки_2026!$B$25</f>
        <v>Условия базового чек-листа выполнены</v>
      </c>
    </row>
    <row r="43" spans="1:10" x14ac:dyDescent="0.25">
      <c r="A43" s="5" t="s">
        <v>468</v>
      </c>
      <c r="B43" s="32">
        <f>IF(Настройки_2026!$B$8="בעל עסק זעיר (30%)",MAX(0,B41*(1-Настройки_2026!$B$30)),MAX(0,B41-B42))</f>
        <v>58239.999999999993</v>
      </c>
      <c r="D43" t="s">
        <v>469</v>
      </c>
      <c r="E43" s="33">
        <f>Настройки_2026!$B$13</f>
        <v>2.25</v>
      </c>
    </row>
    <row r="44" spans="1:10" x14ac:dyDescent="0.25">
      <c r="A44" s="5" t="s">
        <v>470</v>
      </c>
      <c r="B44" s="32">
        <f>B43+Настройки_2026!$B$10+Настройки_2026!$B$11</f>
        <v>58239.999999999993</v>
      </c>
      <c r="D44" t="s">
        <v>471</v>
      </c>
      <c r="E44" s="32">
        <f>IF(Настройки_2026!$B$15&lt;&gt;"Да",0,MIN(B43,Настройки_2026!$B$38)*Настройки_2026!$B$39+MAX(0,MIN(B43,Настройки_2026!$B$40)-Настройки_2026!$B$38)*Настройки_2026!$B$41)</f>
        <v>2591.6799999999994</v>
      </c>
    </row>
    <row r="45" spans="1:10" x14ac:dyDescent="0.25">
      <c r="A45" s="5" t="s">
        <v>472</v>
      </c>
      <c r="B45" s="32">
        <f>MAX(0,MAX(0,MIN(B44,Настройки_2026!$C$46)-Настройки_2026!$B$46)*Настройки_2026!$D$46+MAX(0,MIN(B44,Настройки_2026!$C$47)-Настройки_2026!$B$47)*Настройки_2026!$D$47+MAX(0,MIN(B44,Настройки_2026!$C$48)-Настройки_2026!$B$48)*Настройки_2026!$D$48+MAX(0,MIN(B44,Настройки_2026!$C$49)-Настройки_2026!$B$49)*Настройки_2026!$D$49+MAX(0,MIN(B44,Настройки_2026!$C$50)-Настройки_2026!$B$50)*Настройки_2026!$D$50+MAX(0,MIN(B44,Настройки_2026!$C$51)-Настройки_2026!$B$51)*Настройки_2026!$D$51+MAX(0,MIN(B44,Настройки_2026!$C$52)-Настройки_2026!$B$52)*Настройки_2026!$D$52)</f>
        <v>5824</v>
      </c>
    </row>
    <row r="46" spans="1:10" x14ac:dyDescent="0.25">
      <c r="A46" s="5" t="s">
        <v>473</v>
      </c>
      <c r="B46" s="32">
        <f>Настройки_2026!$B$13*Настройки_2026!$B$31+Настройки_2026!$B$14</f>
        <v>6534</v>
      </c>
      <c r="D46" s="53" t="s">
        <v>591</v>
      </c>
      <c r="E46" s="40"/>
      <c r="F46" s="40"/>
      <c r="G46" s="40"/>
      <c r="H46" s="40"/>
      <c r="I46" s="40"/>
      <c r="J46" s="40"/>
    </row>
    <row r="47" spans="1:10" x14ac:dyDescent="0.25">
      <c r="A47" s="5" t="s">
        <v>474</v>
      </c>
      <c r="B47" s="32">
        <f>MAX(0,B45-B46)</f>
        <v>0</v>
      </c>
      <c r="D47" s="40"/>
      <c r="E47" s="40"/>
      <c r="F47" s="40"/>
      <c r="G47" s="40"/>
      <c r="H47" s="40"/>
      <c r="I47" s="40"/>
      <c r="J47" s="40"/>
    </row>
    <row r="48" spans="1:10" x14ac:dyDescent="0.25">
      <c r="A48" s="5" t="s">
        <v>475</v>
      </c>
      <c r="B48" s="32">
        <f>Настройки_2026!$B$12+SUMIFS(Операции!$E$5:$E$504,Операции!$D$5:$D$504,"Аванс מס הכנסה",Операции!$N$5:$N$504,1)</f>
        <v>0</v>
      </c>
    </row>
    <row r="49" spans="1:10" x14ac:dyDescent="0.25">
      <c r="A49" s="5" t="s">
        <v>590</v>
      </c>
      <c r="B49" s="32">
        <f>B47-B48</f>
        <v>0</v>
      </c>
    </row>
    <row r="50" spans="1:10" x14ac:dyDescent="0.25">
      <c r="A50" s="5" t="s">
        <v>476</v>
      </c>
      <c r="B50" s="32">
        <f>SUMIFS(Операции!$E$5:$E$504,Операции!$D$5:$D$504,"Битуах Леуми / здоровье",Операции!$N$5:$N$504,1)</f>
        <v>5850</v>
      </c>
    </row>
    <row r="51" spans="1:10" x14ac:dyDescent="0.25">
      <c r="A51" s="5" t="s">
        <v>477</v>
      </c>
      <c r="B51" s="32">
        <f>IF(Настройки_2026!$B$10&gt;0,"",MIN(MIN(MAX(B43,Настройки_2026!$B$35*Настройки_2026!$B$9),Настройки_2026!$B$36*Настройки_2026!$B$9),Настройки_2026!$B$32*Настройки_2026!$B$9)*Настройки_2026!$B$33+MAX(0,MIN(MAX(B43,Настройки_2026!$B$35*Настройки_2026!$B$9),Настройки_2026!$B$36*Настройки_2026!$B$9)-Настройки_2026!$B$32*Настройки_2026!$B$9)*Настройки_2026!$B$34)</f>
        <v>4484.4799999999996</v>
      </c>
    </row>
    <row r="54" spans="1:10" ht="21.95" customHeight="1" x14ac:dyDescent="0.25">
      <c r="A54" s="42" t="s">
        <v>478</v>
      </c>
      <c r="B54" s="40"/>
      <c r="C54" s="40"/>
      <c r="D54" s="40"/>
      <c r="E54" s="40"/>
      <c r="F54" s="40"/>
      <c r="G54" s="40"/>
      <c r="H54" s="40"/>
      <c r="I54" s="40"/>
      <c r="J54" s="40"/>
    </row>
    <row r="55" spans="1:10" ht="27.95" customHeight="1" x14ac:dyDescent="0.25">
      <c r="A55" s="3" t="s">
        <v>245</v>
      </c>
      <c r="B55" s="3" t="s">
        <v>479</v>
      </c>
    </row>
    <row r="56" spans="1:10" x14ac:dyDescent="0.25">
      <c r="A56" t="s">
        <v>263</v>
      </c>
      <c r="B56" s="32">
        <f>SUMIFS(Операции!$E$5:$E$504,Операции!$D$5:$D$504,A56,Операции!$N$5:$N$504,1)</f>
        <v>6030</v>
      </c>
    </row>
    <row r="57" spans="1:10" x14ac:dyDescent="0.25">
      <c r="A57" t="s">
        <v>267</v>
      </c>
      <c r="B57" s="32">
        <f>SUMIFS(Операции!$E$5:$E$504,Операции!$D$5:$D$504,A57,Операции!$N$5:$N$504,1)</f>
        <v>1980</v>
      </c>
    </row>
    <row r="58" spans="1:10" x14ac:dyDescent="0.25">
      <c r="A58" t="s">
        <v>270</v>
      </c>
      <c r="B58" s="32">
        <f>SUMIFS(Операции!$E$5:$E$504,Операции!$D$5:$D$504,A58,Операции!$N$5:$N$504,1)</f>
        <v>2560</v>
      </c>
    </row>
    <row r="59" spans="1:10" x14ac:dyDescent="0.25">
      <c r="A59" t="s">
        <v>273</v>
      </c>
      <c r="B59" s="32">
        <f>SUMIFS(Операции!$E$5:$E$504,Операции!$D$5:$D$504,A59,Операции!$N$5:$N$504,1)</f>
        <v>190</v>
      </c>
    </row>
    <row r="60" spans="1:10" x14ac:dyDescent="0.25">
      <c r="A60" t="s">
        <v>276</v>
      </c>
      <c r="B60" s="32">
        <f>SUMIFS(Операции!$E$5:$E$504,Операции!$D$5:$D$504,A60,Операции!$N$5:$N$504,1)</f>
        <v>1150</v>
      </c>
    </row>
    <row r="61" spans="1:10" x14ac:dyDescent="0.25">
      <c r="A61" t="s">
        <v>279</v>
      </c>
      <c r="B61" s="32">
        <f>SUMIFS(Операции!$E$5:$E$504,Операции!$D$5:$D$504,A61,Операции!$N$5:$N$504,1)</f>
        <v>0</v>
      </c>
    </row>
    <row r="62" spans="1:10" x14ac:dyDescent="0.25">
      <c r="A62" t="s">
        <v>282</v>
      </c>
      <c r="B62" s="32">
        <f>SUMIFS(Операции!$E$5:$E$504,Операции!$D$5:$D$504,A62,Операции!$N$5:$N$504,1)</f>
        <v>650</v>
      </c>
    </row>
    <row r="63" spans="1:10" x14ac:dyDescent="0.25">
      <c r="A63" t="s">
        <v>285</v>
      </c>
      <c r="B63" s="32">
        <f>SUMIFS(Операции!$E$5:$E$504,Операции!$D$5:$D$504,A63,Операции!$N$5:$N$504,1)</f>
        <v>160</v>
      </c>
    </row>
    <row r="64" spans="1:10" x14ac:dyDescent="0.25">
      <c r="A64" t="s">
        <v>288</v>
      </c>
      <c r="B64" s="32">
        <f>SUMIFS(Операции!$E$5:$E$504,Операции!$D$5:$D$504,A64,Операции!$N$5:$N$504,1)</f>
        <v>740</v>
      </c>
    </row>
    <row r="65" spans="1:2" x14ac:dyDescent="0.25">
      <c r="A65" t="s">
        <v>292</v>
      </c>
      <c r="B65" s="32">
        <f>SUMIFS(Операции!$E$5:$E$504,Операции!$D$5:$D$504,A65,Операции!$N$5:$N$504,1)</f>
        <v>590</v>
      </c>
    </row>
    <row r="66" spans="1:2" x14ac:dyDescent="0.25">
      <c r="A66" t="s">
        <v>295</v>
      </c>
      <c r="B66" s="32">
        <f>SUMIFS(Операции!$E$5:$E$504,Операции!$D$5:$D$504,A66,Операции!$N$5:$N$504,1)</f>
        <v>850</v>
      </c>
    </row>
    <row r="67" spans="1:2" x14ac:dyDescent="0.25">
      <c r="A67" t="s">
        <v>299</v>
      </c>
      <c r="B67" s="32">
        <f>SUMIFS(Операции!$E$5:$E$504,Операции!$D$5:$D$504,A67,Операции!$N$5:$N$504,1)</f>
        <v>0</v>
      </c>
    </row>
    <row r="68" spans="1:2" x14ac:dyDescent="0.25">
      <c r="A68" t="s">
        <v>302</v>
      </c>
      <c r="B68" s="32">
        <f>SUMIFS(Операции!$E$5:$E$504,Операции!$D$5:$D$504,A68,Операции!$N$5:$N$504,1)</f>
        <v>120</v>
      </c>
    </row>
  </sheetData>
  <mergeCells count="17">
    <mergeCell ref="D46:J47"/>
    <mergeCell ref="A10:J10"/>
    <mergeCell ref="A54:J54"/>
    <mergeCell ref="C4:D4"/>
    <mergeCell ref="A8:J8"/>
    <mergeCell ref="A40:J40"/>
    <mergeCell ref="C5:D6"/>
    <mergeCell ref="A5:B6"/>
    <mergeCell ref="G5:H6"/>
    <mergeCell ref="E5:F6"/>
    <mergeCell ref="I5:J6"/>
    <mergeCell ref="A4:B4"/>
    <mergeCell ref="G4:H4"/>
    <mergeCell ref="A1:J1"/>
    <mergeCell ref="E4:F4"/>
    <mergeCell ref="I4:J4"/>
    <mergeCell ref="A2:J2"/>
  </mergeCells>
  <conditionalFormatting sqref="A8:J8">
    <cfRule type="expression" dxfId="4" priority="1">
      <formula>$C$5&gt;=0.9</formula>
    </cfRule>
    <cfRule type="expression" dxfId="3" priority="2">
      <formula>AND($C$5&gt;=0.75,$C$5&lt;0.9)</formula>
    </cfRule>
  </conditionalFormatting>
  <conditionalFormatting sqref="H12:H23">
    <cfRule type="dataBar" priority="3">
      <dataBar>
        <cfvo type="num" val="0"/>
        <cfvo type="num" val="1"/>
        <color rgb="FF1F7A6E"/>
      </dataBar>
    </cfRule>
  </conditionalFormatting>
  <conditionalFormatting sqref="I12:I23">
    <cfRule type="cellIs" dxfId="2" priority="4" operator="greaterThan">
      <formula>0</formula>
    </cfRule>
  </conditionalFormatting>
  <pageMargins left="0.75" right="0.75" top="1" bottom="1" header="0.5" footer="0.5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3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2" width="16" customWidth="1"/>
    <col min="3" max="3" width="20" customWidth="1"/>
    <col min="4" max="4" width="16" customWidth="1"/>
    <col min="5" max="5" width="20" customWidth="1"/>
    <col min="6" max="6" width="14" customWidth="1"/>
    <col min="7" max="7" width="18" customWidth="1"/>
    <col min="8" max="8" width="16" customWidth="1"/>
    <col min="9" max="9" width="13" hidden="1" customWidth="1"/>
  </cols>
  <sheetData>
    <row r="1" spans="1:9" ht="27.95" customHeight="1" x14ac:dyDescent="0.25">
      <c r="A1" s="43" t="s">
        <v>480</v>
      </c>
      <c r="B1" s="40"/>
      <c r="C1" s="40"/>
      <c r="D1" s="40"/>
      <c r="E1" s="40"/>
      <c r="F1" s="40"/>
      <c r="G1" s="40"/>
      <c r="H1" s="40"/>
    </row>
    <row r="2" spans="1:9" x14ac:dyDescent="0.25">
      <c r="A2" s="44" t="s">
        <v>481</v>
      </c>
      <c r="B2" s="40"/>
      <c r="C2" s="40"/>
      <c r="D2" s="40"/>
      <c r="E2" s="40"/>
      <c r="F2" s="40"/>
      <c r="G2" s="40"/>
      <c r="H2" s="40"/>
    </row>
    <row r="4" spans="1:9" ht="27.95" customHeight="1" x14ac:dyDescent="0.25">
      <c r="A4" s="3" t="s">
        <v>444</v>
      </c>
      <c r="B4" s="3" t="s">
        <v>482</v>
      </c>
      <c r="C4" s="3" t="s">
        <v>483</v>
      </c>
      <c r="D4" s="3" t="s">
        <v>484</v>
      </c>
      <c r="E4" s="3" t="s">
        <v>485</v>
      </c>
      <c r="F4" s="3" t="s">
        <v>449</v>
      </c>
      <c r="G4" s="3" t="s">
        <v>441</v>
      </c>
      <c r="H4" s="3" t="s">
        <v>486</v>
      </c>
      <c r="I4" t="s">
        <v>448</v>
      </c>
    </row>
    <row r="5" spans="1:9" x14ac:dyDescent="0.25">
      <c r="A5" t="s">
        <v>451</v>
      </c>
      <c r="B5" s="32">
        <f>Дашборд!B12</f>
        <v>8400</v>
      </c>
      <c r="C5" s="8">
        <v>0</v>
      </c>
      <c r="D5" s="32">
        <f t="shared" ref="D5:D16" si="0">B5+C5</f>
        <v>8400</v>
      </c>
      <c r="E5" s="32">
        <f>SUM($D$5:D5)</f>
        <v>8400</v>
      </c>
      <c r="F5" s="14">
        <f>IF(Настройки_2026!$B$29=0,0,E5/Настройки_2026!$B$29)</f>
        <v>6.8385531575390984E-2</v>
      </c>
      <c r="G5" s="32">
        <f>Настройки_2026!$B$29-E5</f>
        <v>114433</v>
      </c>
      <c r="H5" t="str">
        <f>IF(E5&gt;Настройки_2026!$B$29,"ПРЕВЫШЕНИЕ",IF(F5&gt;=0.9,"≥90%",IF(F5&gt;=0.75,"≥75%","OK")))</f>
        <v>OK</v>
      </c>
      <c r="I5">
        <f>Настройки_2026!$B$29</f>
        <v>122833</v>
      </c>
    </row>
    <row r="6" spans="1:9" x14ac:dyDescent="0.25">
      <c r="A6" t="s">
        <v>452</v>
      </c>
      <c r="B6" s="32">
        <f>Дашборд!B13</f>
        <v>9100</v>
      </c>
      <c r="C6" s="8">
        <v>0</v>
      </c>
      <c r="D6" s="32">
        <f t="shared" si="0"/>
        <v>9100</v>
      </c>
      <c r="E6" s="32">
        <f>SUM($D$5:D6)</f>
        <v>17500</v>
      </c>
      <c r="F6" s="14">
        <f>IF(Настройки_2026!$B$29=0,0,E6/Настройки_2026!$B$29)</f>
        <v>0.1424698574487312</v>
      </c>
      <c r="G6" s="32">
        <f>Настройки_2026!$B$29-E6</f>
        <v>105333</v>
      </c>
      <c r="H6" t="str">
        <f>IF(E6&gt;Настройки_2026!$B$29,"ПРЕВЫШЕНИЕ",IF(F6&gt;=0.9,"≥90%",IF(F6&gt;=0.75,"≥75%","OK")))</f>
        <v>OK</v>
      </c>
      <c r="I6">
        <f>Настройки_2026!$B$29</f>
        <v>122833</v>
      </c>
    </row>
    <row r="7" spans="1:9" x14ac:dyDescent="0.25">
      <c r="A7" t="s">
        <v>453</v>
      </c>
      <c r="B7" s="32">
        <f>Дашборд!B14</f>
        <v>9500</v>
      </c>
      <c r="C7" s="8">
        <v>0</v>
      </c>
      <c r="D7" s="32">
        <f t="shared" si="0"/>
        <v>9500</v>
      </c>
      <c r="E7" s="32">
        <f>SUM($D$5:D7)</f>
        <v>27000</v>
      </c>
      <c r="F7" s="14">
        <f>IF(Настройки_2026!$B$29=0,0,E7/Настройки_2026!$B$29)</f>
        <v>0.21981063720661387</v>
      </c>
      <c r="G7" s="32">
        <f>Настройки_2026!$B$29-E7</f>
        <v>95833</v>
      </c>
      <c r="H7" t="str">
        <f>IF(E7&gt;Настройки_2026!$B$29,"ПРЕВЫШЕНИЕ",IF(F7&gt;=0.9,"≥90%",IF(F7&gt;=0.75,"≥75%","OK")))</f>
        <v>OK</v>
      </c>
      <c r="I7">
        <f>Настройки_2026!$B$29</f>
        <v>122833</v>
      </c>
    </row>
    <row r="8" spans="1:9" x14ac:dyDescent="0.25">
      <c r="A8" t="s">
        <v>454</v>
      </c>
      <c r="B8" s="32">
        <f>Дашборд!B15</f>
        <v>8800</v>
      </c>
      <c r="C8" s="8">
        <v>0</v>
      </c>
      <c r="D8" s="32">
        <f t="shared" si="0"/>
        <v>8800</v>
      </c>
      <c r="E8" s="32">
        <f>SUM($D$5:D8)</f>
        <v>35800</v>
      </c>
      <c r="F8" s="14">
        <f>IF(Настройки_2026!$B$29=0,0,E8/Настройки_2026!$B$29)</f>
        <v>0.29145262266654726</v>
      </c>
      <c r="G8" s="32">
        <f>Настройки_2026!$B$29-E8</f>
        <v>87033</v>
      </c>
      <c r="H8" t="str">
        <f>IF(E8&gt;Настройки_2026!$B$29,"ПРЕВЫШЕНИЕ",IF(F8&gt;=0.9,"≥90%",IF(F8&gt;=0.75,"≥75%","OK")))</f>
        <v>OK</v>
      </c>
      <c r="I8">
        <f>Настройки_2026!$B$29</f>
        <v>122833</v>
      </c>
    </row>
    <row r="9" spans="1:9" x14ac:dyDescent="0.25">
      <c r="A9" t="s">
        <v>455</v>
      </c>
      <c r="B9" s="32">
        <f>Дашборд!B16</f>
        <v>10200</v>
      </c>
      <c r="C9" s="8">
        <v>0</v>
      </c>
      <c r="D9" s="32">
        <f t="shared" si="0"/>
        <v>10200</v>
      </c>
      <c r="E9" s="32">
        <f>SUM($D$5:D9)</f>
        <v>46000</v>
      </c>
      <c r="F9" s="14">
        <f>IF(Настройки_2026!$B$29=0,0,E9/Настройки_2026!$B$29)</f>
        <v>0.37449219672237916</v>
      </c>
      <c r="G9" s="32">
        <f>Настройки_2026!$B$29-E9</f>
        <v>76833</v>
      </c>
      <c r="H9" t="str">
        <f>IF(E9&gt;Настройки_2026!$B$29,"ПРЕВЫШЕНИЕ",IF(F9&gt;=0.9,"≥90%",IF(F9&gt;=0.75,"≥75%","OK")))</f>
        <v>OK</v>
      </c>
      <c r="I9">
        <f>Настройки_2026!$B$29</f>
        <v>122833</v>
      </c>
    </row>
    <row r="10" spans="1:9" x14ac:dyDescent="0.25">
      <c r="A10" t="s">
        <v>456</v>
      </c>
      <c r="B10" s="32">
        <f>Дашборд!B17</f>
        <v>9700</v>
      </c>
      <c r="C10" s="8">
        <v>0</v>
      </c>
      <c r="D10" s="32">
        <f t="shared" si="0"/>
        <v>9700</v>
      </c>
      <c r="E10" s="32">
        <f>SUM($D$5:D10)</f>
        <v>55700</v>
      </c>
      <c r="F10" s="14">
        <f>IF(Настройки_2026!$B$29=0,0,E10/Настройки_2026!$B$29)</f>
        <v>0.45346120342253304</v>
      </c>
      <c r="G10" s="32">
        <f>Настройки_2026!$B$29-E10</f>
        <v>67133</v>
      </c>
      <c r="H10" t="str">
        <f>IF(E10&gt;Настройки_2026!$B$29,"ПРЕВЫШЕНИЕ",IF(F10&gt;=0.9,"≥90%",IF(F10&gt;=0.75,"≥75%","OK")))</f>
        <v>OK</v>
      </c>
      <c r="I10">
        <f>Настройки_2026!$B$29</f>
        <v>122833</v>
      </c>
    </row>
    <row r="11" spans="1:9" x14ac:dyDescent="0.25">
      <c r="A11" t="s">
        <v>457</v>
      </c>
      <c r="B11" s="32">
        <f>Дашборд!B18</f>
        <v>9000</v>
      </c>
      <c r="C11" s="8">
        <v>0</v>
      </c>
      <c r="D11" s="32">
        <f t="shared" si="0"/>
        <v>9000</v>
      </c>
      <c r="E11" s="32">
        <f>SUM($D$5:D11)</f>
        <v>64700</v>
      </c>
      <c r="F11" s="14">
        <f>IF(Настройки_2026!$B$29=0,0,E11/Настройки_2026!$B$29)</f>
        <v>0.5267314158247377</v>
      </c>
      <c r="G11" s="32">
        <f>Настройки_2026!$B$29-E11</f>
        <v>58133</v>
      </c>
      <c r="H11" t="str">
        <f>IF(E11&gt;Настройки_2026!$B$29,"ПРЕВЫШЕНИЕ",IF(F11&gt;=0.9,"≥90%",IF(F11&gt;=0.75,"≥75%","OK")))</f>
        <v>OK</v>
      </c>
      <c r="I11">
        <f>Настройки_2026!$B$29</f>
        <v>122833</v>
      </c>
    </row>
    <row r="12" spans="1:9" x14ac:dyDescent="0.25">
      <c r="A12" t="s">
        <v>458</v>
      </c>
      <c r="B12" s="32">
        <f>Дашборд!B19</f>
        <v>9600</v>
      </c>
      <c r="C12" s="8">
        <v>0</v>
      </c>
      <c r="D12" s="32">
        <f t="shared" si="0"/>
        <v>9600</v>
      </c>
      <c r="E12" s="32">
        <f>SUM($D$5:D12)</f>
        <v>74300</v>
      </c>
      <c r="F12" s="14">
        <f>IF(Настройки_2026!$B$29=0,0,E12/Настройки_2026!$B$29)</f>
        <v>0.60488630905375596</v>
      </c>
      <c r="G12" s="32">
        <f>Настройки_2026!$B$29-E12</f>
        <v>48533</v>
      </c>
      <c r="H12" t="str">
        <f>IF(E12&gt;Настройки_2026!$B$29,"ПРЕВЫШЕНИЕ",IF(F12&gt;=0.9,"≥90%",IF(F12&gt;=0.75,"≥75%","OK")))</f>
        <v>OK</v>
      </c>
      <c r="I12">
        <f>Настройки_2026!$B$29</f>
        <v>122833</v>
      </c>
    </row>
    <row r="13" spans="1:9" x14ac:dyDescent="0.25">
      <c r="A13" t="s">
        <v>459</v>
      </c>
      <c r="B13" s="32">
        <f>Дашборд!B20</f>
        <v>8900</v>
      </c>
      <c r="C13" s="8">
        <v>2500</v>
      </c>
      <c r="D13" s="32">
        <f t="shared" si="0"/>
        <v>11400</v>
      </c>
      <c r="E13" s="32">
        <f>SUM($D$5:D13)</f>
        <v>85700</v>
      </c>
      <c r="F13" s="14">
        <f>IF(Настройки_2026!$B$29=0,0,E13/Настройки_2026!$B$29)</f>
        <v>0.69769524476321509</v>
      </c>
      <c r="G13" s="32">
        <f>Настройки_2026!$B$29-E13</f>
        <v>37133</v>
      </c>
      <c r="H13" t="str">
        <f>IF(E13&gt;Настройки_2026!$B$29,"ПРЕВЫШЕНИЕ",IF(F13&gt;=0.9,"≥90%",IF(F13&gt;=0.75,"≥75%","OK")))</f>
        <v>OK</v>
      </c>
      <c r="I13">
        <f>Настройки_2026!$B$29</f>
        <v>122833</v>
      </c>
    </row>
    <row r="14" spans="1:9" x14ac:dyDescent="0.25">
      <c r="A14" t="s">
        <v>460</v>
      </c>
      <c r="B14" s="32">
        <f>Дашборд!B21</f>
        <v>0</v>
      </c>
      <c r="C14" s="8">
        <v>11000</v>
      </c>
      <c r="D14" s="32">
        <f t="shared" si="0"/>
        <v>11000</v>
      </c>
      <c r="E14" s="32">
        <f>SUM($D$5:D14)</f>
        <v>96700</v>
      </c>
      <c r="F14" s="14">
        <f>IF(Настройки_2026!$B$29=0,0,E14/Настройки_2026!$B$29)</f>
        <v>0.7872477265881318</v>
      </c>
      <c r="G14" s="32">
        <f>Настройки_2026!$B$29-E14</f>
        <v>26133</v>
      </c>
      <c r="H14" t="str">
        <f>IF(E14&gt;Настройки_2026!$B$29,"ПРЕВЫШЕНИЕ",IF(F14&gt;=0.9,"≥90%",IF(F14&gt;=0.75,"≥75%","OK")))</f>
        <v>≥75%</v>
      </c>
      <c r="I14">
        <f>Настройки_2026!$B$29</f>
        <v>122833</v>
      </c>
    </row>
    <row r="15" spans="1:9" x14ac:dyDescent="0.25">
      <c r="A15" t="s">
        <v>461</v>
      </c>
      <c r="B15" s="32">
        <f>Дашборд!B22</f>
        <v>0</v>
      </c>
      <c r="C15" s="8">
        <v>11000</v>
      </c>
      <c r="D15" s="32">
        <f t="shared" si="0"/>
        <v>11000</v>
      </c>
      <c r="E15" s="32">
        <f>SUM($D$5:D15)</f>
        <v>107700</v>
      </c>
      <c r="F15" s="14">
        <f>IF(Настройки_2026!$B$29=0,0,E15/Настройки_2026!$B$29)</f>
        <v>0.87680020841304862</v>
      </c>
      <c r="G15" s="32">
        <f>Настройки_2026!$B$29-E15</f>
        <v>15133</v>
      </c>
      <c r="H15" t="str">
        <f>IF(E15&gt;Настройки_2026!$B$29,"ПРЕВЫШЕНИЕ",IF(F15&gt;=0.9,"≥90%",IF(F15&gt;=0.75,"≥75%","OK")))</f>
        <v>≥75%</v>
      </c>
      <c r="I15">
        <f>Настройки_2026!$B$29</f>
        <v>122833</v>
      </c>
    </row>
    <row r="16" spans="1:9" x14ac:dyDescent="0.25">
      <c r="A16" t="s">
        <v>462</v>
      </c>
      <c r="B16" s="32">
        <f>Дашборд!B23</f>
        <v>0</v>
      </c>
      <c r="C16" s="8">
        <v>11000</v>
      </c>
      <c r="D16" s="32">
        <f t="shared" si="0"/>
        <v>11000</v>
      </c>
      <c r="E16" s="32">
        <f>SUM($D$5:D16)</f>
        <v>118700</v>
      </c>
      <c r="F16" s="14">
        <f>IF(Настройки_2026!$B$29=0,0,E16/Настройки_2026!$B$29)</f>
        <v>0.96635269023796533</v>
      </c>
      <c r="G16" s="32">
        <f>Настройки_2026!$B$29-E16</f>
        <v>4133</v>
      </c>
      <c r="H16" t="str">
        <f>IF(E16&gt;Настройки_2026!$B$29,"ПРЕВЫШЕНИЕ",IF(F16&gt;=0.9,"≥90%",IF(F16&gt;=0.75,"≥75%","OK")))</f>
        <v>≥90%</v>
      </c>
      <c r="I16">
        <f>Настройки_2026!$B$29</f>
        <v>122833</v>
      </c>
    </row>
    <row r="18" spans="1:8" ht="21.95" customHeight="1" x14ac:dyDescent="0.25">
      <c r="A18" s="42" t="s">
        <v>487</v>
      </c>
      <c r="B18" s="40"/>
      <c r="C18" s="40"/>
      <c r="D18" s="40"/>
      <c r="E18" s="40"/>
      <c r="F18" s="40"/>
      <c r="G18" s="40"/>
      <c r="H18" s="40"/>
    </row>
    <row r="19" spans="1:8" x14ac:dyDescent="0.25">
      <c r="A19" s="5" t="s">
        <v>488</v>
      </c>
      <c r="B19" s="34">
        <f>SUM(B5:B16)</f>
        <v>83200</v>
      </c>
    </row>
    <row r="20" spans="1:8" x14ac:dyDescent="0.25">
      <c r="A20" s="5" t="s">
        <v>489</v>
      </c>
      <c r="B20" s="34">
        <f>SUM(C5:C16)</f>
        <v>35500</v>
      </c>
    </row>
    <row r="21" spans="1:8" x14ac:dyDescent="0.25">
      <c r="A21" s="5" t="s">
        <v>490</v>
      </c>
      <c r="B21" s="34">
        <f>SUM(D5:D16)</f>
        <v>118700</v>
      </c>
    </row>
    <row r="22" spans="1:8" x14ac:dyDescent="0.25">
      <c r="A22" s="5" t="s">
        <v>491</v>
      </c>
      <c r="B22" s="12">
        <f>B21/Настройки_2026!$B$29</f>
        <v>0.96635269023796533</v>
      </c>
    </row>
    <row r="23" spans="1:8" x14ac:dyDescent="0.25">
      <c r="A23" s="5" t="s">
        <v>492</v>
      </c>
      <c r="B23" s="34">
        <f>Настройки_2026!$B$29-B21</f>
        <v>4133</v>
      </c>
    </row>
  </sheetData>
  <mergeCells count="3">
    <mergeCell ref="A18:H18"/>
    <mergeCell ref="A2:H2"/>
    <mergeCell ref="A1:H1"/>
  </mergeCells>
  <conditionalFormatting sqref="F5:F16">
    <cfRule type="dataBar" priority="1">
      <dataBar>
        <cfvo type="num" val="0"/>
        <cfvo type="num" val="1"/>
        <color rgb="FF1F7A6E"/>
      </dataBar>
    </cfRule>
  </conditionalFormatting>
  <conditionalFormatting sqref="H5:H16">
    <cfRule type="expression" dxfId="1" priority="2">
      <formula>$H5="ПРЕВЫШЕНИЕ"</formula>
    </cfRule>
    <cfRule type="expression" dxfId="0" priority="3">
      <formula>$H5="≥90%"</formula>
    </cfRule>
  </conditionalFormatting>
  <pageMargins left="0.75" right="0.75" top="1" bottom="1" header="0.5" footer="0.5"/>
  <pageSetup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5"/>
  <sheetViews>
    <sheetView showGridLines="0" workbookViewId="0">
      <pane ySplit="4" topLeftCell="A5" activePane="bottomLeft" state="frozen"/>
      <selection pane="bottomLeft" sqref="A1:E1"/>
    </sheetView>
  </sheetViews>
  <sheetFormatPr defaultRowHeight="15" x14ac:dyDescent="0.25"/>
  <cols>
    <col min="1" max="1" width="27" customWidth="1"/>
    <col min="2" max="2" width="72" customWidth="1"/>
    <col min="3" max="3" width="27" customWidth="1"/>
    <col min="4" max="4" width="65" customWidth="1"/>
    <col min="5" max="5" width="55" customWidth="1"/>
  </cols>
  <sheetData>
    <row r="1" spans="1:5" ht="27.95" customHeight="1" x14ac:dyDescent="0.25">
      <c r="A1" s="43" t="s">
        <v>493</v>
      </c>
      <c r="B1" s="40"/>
      <c r="C1" s="40"/>
      <c r="D1" s="40"/>
      <c r="E1" s="40"/>
    </row>
    <row r="2" spans="1:5" x14ac:dyDescent="0.25">
      <c r="A2" s="44" t="s">
        <v>494</v>
      </c>
      <c r="B2" s="40"/>
      <c r="C2" s="40"/>
      <c r="D2" s="40"/>
      <c r="E2" s="40"/>
    </row>
    <row r="4" spans="1:5" ht="27.95" customHeight="1" x14ac:dyDescent="0.25">
      <c r="A4" s="3" t="s">
        <v>495</v>
      </c>
      <c r="B4" s="3" t="s">
        <v>496</v>
      </c>
      <c r="C4" s="3" t="s">
        <v>199</v>
      </c>
      <c r="D4" s="3" t="s">
        <v>497</v>
      </c>
      <c r="E4" s="3" t="s">
        <v>498</v>
      </c>
    </row>
    <row r="5" spans="1:5" ht="45" customHeight="1" x14ac:dyDescent="0.25">
      <c r="A5" s="37" t="s">
        <v>499</v>
      </c>
      <c r="B5" s="37" t="s">
        <v>500</v>
      </c>
      <c r="C5" s="37" t="s">
        <v>501</v>
      </c>
      <c r="D5" s="38" t="s">
        <v>502</v>
      </c>
      <c r="E5" s="37" t="s">
        <v>503</v>
      </c>
    </row>
    <row r="6" spans="1:5" ht="45" customHeight="1" x14ac:dyDescent="0.25">
      <c r="A6" s="37" t="s">
        <v>504</v>
      </c>
      <c r="B6" s="37" t="s">
        <v>505</v>
      </c>
      <c r="C6" s="37" t="s">
        <v>506</v>
      </c>
      <c r="D6" s="38" t="s">
        <v>507</v>
      </c>
      <c r="E6" s="37" t="s">
        <v>508</v>
      </c>
    </row>
    <row r="7" spans="1:5" ht="45" customHeight="1" x14ac:dyDescent="0.25">
      <c r="A7" s="37" t="s">
        <v>509</v>
      </c>
      <c r="B7" s="37" t="s">
        <v>510</v>
      </c>
      <c r="C7" s="37" t="s">
        <v>511</v>
      </c>
      <c r="D7" s="38" t="s">
        <v>512</v>
      </c>
      <c r="E7" s="37" t="s">
        <v>513</v>
      </c>
    </row>
    <row r="8" spans="1:5" ht="45" customHeight="1" x14ac:dyDescent="0.25">
      <c r="A8" s="37" t="s">
        <v>514</v>
      </c>
      <c r="B8" s="37" t="s">
        <v>515</v>
      </c>
      <c r="C8" s="37" t="s">
        <v>516</v>
      </c>
      <c r="D8" s="38" t="s">
        <v>507</v>
      </c>
      <c r="E8" s="37" t="s">
        <v>517</v>
      </c>
    </row>
    <row r="9" spans="1:5" ht="45" customHeight="1" x14ac:dyDescent="0.25">
      <c r="A9" s="37" t="s">
        <v>518</v>
      </c>
      <c r="B9" s="37" t="s">
        <v>519</v>
      </c>
      <c r="C9" s="37" t="s">
        <v>501</v>
      </c>
      <c r="D9" s="38" t="s">
        <v>520</v>
      </c>
      <c r="E9" s="37" t="s">
        <v>521</v>
      </c>
    </row>
    <row r="10" spans="1:5" ht="45" customHeight="1" x14ac:dyDescent="0.25">
      <c r="A10" s="37" t="s">
        <v>522</v>
      </c>
      <c r="B10" s="37" t="s">
        <v>523</v>
      </c>
      <c r="C10" s="37" t="s">
        <v>524</v>
      </c>
      <c r="D10" s="38" t="s">
        <v>525</v>
      </c>
      <c r="E10" s="37" t="s">
        <v>526</v>
      </c>
    </row>
    <row r="11" spans="1:5" ht="45" customHeight="1" x14ac:dyDescent="0.25">
      <c r="A11" s="37" t="s">
        <v>527</v>
      </c>
      <c r="B11" s="37" t="s">
        <v>528</v>
      </c>
      <c r="C11" s="37" t="s">
        <v>501</v>
      </c>
      <c r="D11" s="38" t="s">
        <v>529</v>
      </c>
      <c r="E11" s="37" t="s">
        <v>530</v>
      </c>
    </row>
    <row r="12" spans="1:5" ht="45" customHeight="1" x14ac:dyDescent="0.25">
      <c r="A12" s="37" t="s">
        <v>531</v>
      </c>
      <c r="B12" s="37" t="s">
        <v>532</v>
      </c>
      <c r="C12" s="37" t="s">
        <v>506</v>
      </c>
      <c r="D12" s="38" t="s">
        <v>533</v>
      </c>
      <c r="E12" s="37" t="s">
        <v>534</v>
      </c>
    </row>
    <row r="13" spans="1:5" ht="45" customHeight="1" x14ac:dyDescent="0.25">
      <c r="A13" s="37" t="s">
        <v>535</v>
      </c>
      <c r="B13" s="37" t="s">
        <v>536</v>
      </c>
      <c r="C13" s="37" t="s">
        <v>537</v>
      </c>
      <c r="D13" s="38" t="s">
        <v>538</v>
      </c>
      <c r="E13" s="37" t="s">
        <v>539</v>
      </c>
    </row>
    <row r="14" spans="1:5" ht="45" customHeight="1" x14ac:dyDescent="0.25">
      <c r="A14" s="37" t="s">
        <v>540</v>
      </c>
      <c r="B14" s="37" t="s">
        <v>541</v>
      </c>
      <c r="C14" s="37" t="s">
        <v>501</v>
      </c>
      <c r="D14" s="38" t="s">
        <v>542</v>
      </c>
      <c r="E14" s="37" t="s">
        <v>543</v>
      </c>
    </row>
    <row r="15" spans="1:5" ht="45" customHeight="1" x14ac:dyDescent="0.25">
      <c r="A15" s="37" t="s">
        <v>544</v>
      </c>
      <c r="B15" s="37" t="s">
        <v>545</v>
      </c>
      <c r="C15" s="37" t="s">
        <v>501</v>
      </c>
      <c r="D15" s="38" t="s">
        <v>546</v>
      </c>
      <c r="E15" s="37" t="s">
        <v>547</v>
      </c>
    </row>
    <row r="16" spans="1:5" ht="45" customHeight="1" x14ac:dyDescent="0.25">
      <c r="A16" s="37" t="s">
        <v>548</v>
      </c>
      <c r="B16" s="37" t="s">
        <v>549</v>
      </c>
      <c r="C16" s="37" t="s">
        <v>501</v>
      </c>
      <c r="D16" s="38" t="s">
        <v>550</v>
      </c>
      <c r="E16" s="37" t="s">
        <v>551</v>
      </c>
    </row>
    <row r="17" spans="1:5" ht="45" customHeight="1" x14ac:dyDescent="0.25">
      <c r="A17" s="37" t="s">
        <v>552</v>
      </c>
      <c r="B17" s="37" t="s">
        <v>553</v>
      </c>
      <c r="C17" s="37" t="s">
        <v>501</v>
      </c>
      <c r="D17" s="38" t="s">
        <v>554</v>
      </c>
      <c r="E17" s="37" t="s">
        <v>555</v>
      </c>
    </row>
    <row r="18" spans="1:5" ht="45" customHeight="1" x14ac:dyDescent="0.25">
      <c r="A18" s="37" t="s">
        <v>556</v>
      </c>
      <c r="B18" s="37" t="s">
        <v>588</v>
      </c>
      <c r="C18" s="37" t="s">
        <v>501</v>
      </c>
      <c r="D18" s="38" t="s">
        <v>557</v>
      </c>
      <c r="E18" s="37" t="s">
        <v>558</v>
      </c>
    </row>
    <row r="19" spans="1:5" ht="45" customHeight="1" x14ac:dyDescent="0.25">
      <c r="A19" s="37" t="s">
        <v>559</v>
      </c>
      <c r="B19" s="37" t="s">
        <v>560</v>
      </c>
      <c r="C19" s="37" t="s">
        <v>506</v>
      </c>
      <c r="D19" s="38" t="s">
        <v>561</v>
      </c>
      <c r="E19" s="37" t="s">
        <v>562</v>
      </c>
    </row>
    <row r="20" spans="1:5" ht="45" customHeight="1" x14ac:dyDescent="0.25">
      <c r="A20" s="37" t="s">
        <v>563</v>
      </c>
      <c r="B20" s="37" t="s">
        <v>564</v>
      </c>
      <c r="C20" s="37" t="s">
        <v>565</v>
      </c>
      <c r="D20" s="38" t="s">
        <v>566</v>
      </c>
      <c r="E20" s="37" t="s">
        <v>567</v>
      </c>
    </row>
    <row r="21" spans="1:5" ht="45" customHeight="1" x14ac:dyDescent="0.25">
      <c r="A21" s="37" t="s">
        <v>568</v>
      </c>
      <c r="B21" s="37" t="s">
        <v>569</v>
      </c>
      <c r="C21" s="37" t="s">
        <v>565</v>
      </c>
      <c r="D21" s="38" t="s">
        <v>570</v>
      </c>
      <c r="E21" s="37" t="s">
        <v>571</v>
      </c>
    </row>
    <row r="22" spans="1:5" ht="45" customHeight="1" x14ac:dyDescent="0.25">
      <c r="A22" s="37" t="s">
        <v>572</v>
      </c>
      <c r="B22" s="37" t="s">
        <v>573</v>
      </c>
      <c r="C22" s="37" t="s">
        <v>565</v>
      </c>
      <c r="D22" s="38" t="s">
        <v>574</v>
      </c>
      <c r="E22" s="37" t="s">
        <v>575</v>
      </c>
    </row>
    <row r="23" spans="1:5" ht="45" customHeight="1" x14ac:dyDescent="0.25">
      <c r="A23" s="37" t="s">
        <v>576</v>
      </c>
      <c r="B23" s="37" t="s">
        <v>577</v>
      </c>
      <c r="C23" s="37" t="s">
        <v>565</v>
      </c>
      <c r="D23" s="38" t="s">
        <v>578</v>
      </c>
      <c r="E23" s="37" t="s">
        <v>579</v>
      </c>
    </row>
    <row r="24" spans="1:5" ht="45" customHeight="1" x14ac:dyDescent="0.25">
      <c r="A24" s="37" t="s">
        <v>580</v>
      </c>
      <c r="B24" s="37" t="s">
        <v>581</v>
      </c>
      <c r="C24" s="37" t="s">
        <v>506</v>
      </c>
      <c r="D24" s="38" t="s">
        <v>582</v>
      </c>
      <c r="E24" s="37" t="s">
        <v>583</v>
      </c>
    </row>
    <row r="25" spans="1:5" ht="45" customHeight="1" x14ac:dyDescent="0.25">
      <c r="A25" s="37" t="s">
        <v>584</v>
      </c>
      <c r="B25" s="37" t="s">
        <v>585</v>
      </c>
      <c r="C25" s="37" t="s">
        <v>506</v>
      </c>
      <c r="D25" s="38" t="s">
        <v>586</v>
      </c>
      <c r="E25" s="37" t="s">
        <v>587</v>
      </c>
    </row>
  </sheetData>
  <autoFilter ref="A4:E25" xr:uid="{00000000-0009-0000-0000-000007000000}"/>
  <mergeCells count="2">
    <mergeCell ref="A2:E2"/>
    <mergeCell ref="A1:E1"/>
  </mergeCells>
  <hyperlinks>
    <hyperlink ref="D5" r:id="rId1" xr:uid="{00000000-0004-0000-0700-000000000000}"/>
    <hyperlink ref="D6" r:id="rId2" xr:uid="{00000000-0004-0000-0700-000001000000}"/>
    <hyperlink ref="D7" r:id="rId3" xr:uid="{00000000-0004-0000-0700-000002000000}"/>
    <hyperlink ref="D8" r:id="rId4" xr:uid="{00000000-0004-0000-0700-000003000000}"/>
    <hyperlink ref="D9" r:id="rId5" xr:uid="{00000000-0004-0000-0700-000004000000}"/>
    <hyperlink ref="D10" r:id="rId6" xr:uid="{00000000-0004-0000-0700-000005000000}"/>
    <hyperlink ref="D11" r:id="rId7" xr:uid="{00000000-0004-0000-0700-000006000000}"/>
    <hyperlink ref="D12" r:id="rId8" xr:uid="{00000000-0004-0000-0700-000007000000}"/>
    <hyperlink ref="D13" r:id="rId9" xr:uid="{00000000-0004-0000-0700-000008000000}"/>
    <hyperlink ref="D14" r:id="rId10" xr:uid="{00000000-0004-0000-0700-000009000000}"/>
    <hyperlink ref="D15" r:id="rId11" xr:uid="{00000000-0004-0000-0700-00000A000000}"/>
    <hyperlink ref="D16" r:id="rId12" xr:uid="{00000000-0004-0000-0700-00000B000000}"/>
    <hyperlink ref="D17" r:id="rId13" xr:uid="{00000000-0004-0000-0700-00000C000000}"/>
    <hyperlink ref="D18" r:id="rId14" xr:uid="{00000000-0004-0000-0700-00000D000000}"/>
    <hyperlink ref="D19" r:id="rId15" xr:uid="{00000000-0004-0000-0700-00000E000000}"/>
    <hyperlink ref="D20" r:id="rId16" xr:uid="{00000000-0004-0000-0700-00000F000000}"/>
    <hyperlink ref="D21" r:id="rId17" xr:uid="{00000000-0004-0000-0700-000010000000}"/>
    <hyperlink ref="D22" r:id="rId18" xr:uid="{00000000-0004-0000-0700-000011000000}"/>
    <hyperlink ref="D23" r:id="rId19" xr:uid="{00000000-0004-0000-0700-000012000000}"/>
    <hyperlink ref="D24" r:id="rId20" xr:uid="{00000000-0004-0000-0700-000013000000}"/>
    <hyperlink ref="D25" r:id="rId21" xr:uid="{00000000-0004-0000-0700-000014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Промпт_AI</vt:lpstr>
      <vt:lpstr>Инструкция</vt:lpstr>
      <vt:lpstr>Настройки_2026</vt:lpstr>
      <vt:lpstr>Категории</vt:lpstr>
      <vt:lpstr>Операции</vt:lpstr>
      <vt:lpstr>Дашборд</vt:lpstr>
      <vt:lpstr>План_лимита</vt:lpstr>
      <vt:lpstr>Законы_2026</vt:lpstr>
      <vt:lpstr>CategoryList</vt:lpstr>
      <vt:lpstr>PaymentList</vt:lpstr>
      <vt:lpstr>SourceList</vt:lpstr>
      <vt:lpstr>TypeList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Smartomica - Эсек патур 2026</dc:title>
  <dc:subject>Учебный Excel-шаблон для учета бизнеса עוסק פטור в Израиле</dc:subject>
  <dc:creator>Smartomica</dc:creator>
  <dc:description>Обезличенный учебный шаблон. Правовые параметры 2026 проверены по официальным источникам.</dc:description>
  <cp:lastModifiedBy>Brodsky Mary</cp:lastModifiedBy>
  <dcterms:created xsi:type="dcterms:W3CDTF">2026-09-22T09:59:43Z</dcterms:created>
  <dcterms:modified xsi:type="dcterms:W3CDTF">2026-09-22T13:09:44Z</dcterms:modified>
</cp:coreProperties>
</file>